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WINTER 2007-08 Detailed" sheetId="1" r:id="rId1"/>
    <sheet name="Discom Combined" sheetId="2" r:id="rId2"/>
  </sheets>
  <definedNames/>
  <calcPr fullCalcOnLoad="1"/>
</workbook>
</file>

<file path=xl/sharedStrings.xml><?xml version="1.0" encoding="utf-8"?>
<sst xmlns="http://schemas.openxmlformats.org/spreadsheetml/2006/main" count="343" uniqueCount="124">
  <si>
    <t>DELHI TRANSCO LTD.</t>
  </si>
  <si>
    <t>S.</t>
  </si>
  <si>
    <t>DETAILS</t>
  </si>
  <si>
    <t>NO.</t>
  </si>
  <si>
    <t>DEMAND PROFILE</t>
  </si>
  <si>
    <t>A</t>
  </si>
  <si>
    <t>B</t>
  </si>
  <si>
    <t>C</t>
  </si>
  <si>
    <t>UNRESTRICTED DEMAND DURING THE MONTH IN 2000</t>
  </si>
  <si>
    <t>D</t>
  </si>
  <si>
    <t>UNRESTRICTED DEMAND DURING THE MONTH IN 2001</t>
  </si>
  <si>
    <t>E</t>
  </si>
  <si>
    <t>UNRESTRICTED DEMAND DURING THE MONTH IN 2002</t>
  </si>
  <si>
    <t>F</t>
  </si>
  <si>
    <t>UNRESTRICTED DEMAND DURING THE MONTH IN 2003</t>
  </si>
  <si>
    <t>G</t>
  </si>
  <si>
    <t>UNRESTRICTED DEMAND DURING THE MONTH IN 2004</t>
  </si>
  <si>
    <t>H</t>
  </si>
  <si>
    <t>UNRESTRICTED DEMAND DURING THE MONTH IN 2005</t>
  </si>
  <si>
    <t>I</t>
  </si>
  <si>
    <t>UNRESTRICTED DEMAND DURING THE MONTH IN 2006</t>
  </si>
  <si>
    <t>ANTICIPATED DEMAND ROUNDED OFF</t>
  </si>
  <si>
    <t>RPH</t>
  </si>
  <si>
    <t>GT</t>
  </si>
  <si>
    <t>PRAGATI</t>
  </si>
  <si>
    <t>BTPS</t>
  </si>
  <si>
    <t>BILATERAL AGREEMENTS</t>
  </si>
  <si>
    <t>DVC</t>
  </si>
  <si>
    <t>NOTE</t>
  </si>
  <si>
    <r>
      <t>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Fortnight</t>
    </r>
  </si>
  <si>
    <r>
      <t>2</t>
    </r>
    <r>
      <rPr>
        <b/>
        <vertAlign val="superscript"/>
        <sz val="8"/>
        <rFont val="Times New Roman"/>
        <family val="1"/>
      </rPr>
      <t>nd</t>
    </r>
    <r>
      <rPr>
        <b/>
        <sz val="8"/>
        <rFont val="Times New Roman"/>
        <family val="1"/>
      </rPr>
      <t xml:space="preserve"> fortnight</t>
    </r>
  </si>
  <si>
    <r>
      <t>1</t>
    </r>
    <r>
      <rPr>
        <b/>
        <vertAlign val="superscript"/>
        <sz val="8"/>
        <rFont val="Times New Roman"/>
        <family val="1"/>
      </rPr>
      <t>st</t>
    </r>
    <r>
      <rPr>
        <b/>
        <sz val="8"/>
        <rFont val="Times New Roman"/>
        <family val="1"/>
      </rPr>
      <t xml:space="preserve"> fortnight</t>
    </r>
  </si>
  <si>
    <t>All figures in MW at Delhi Periphery</t>
  </si>
  <si>
    <t>NDPL POSITION</t>
  </si>
  <si>
    <t>(i)</t>
  </si>
  <si>
    <t>Demand of NDPL (29.18% Energy Share) i.e. 29.18% of B.</t>
  </si>
  <si>
    <t>AVAILABILITY FOR NDPL</t>
  </si>
  <si>
    <t xml:space="preserve">Through CSGS &amp; State Sector existing projects </t>
  </si>
  <si>
    <t>Through un-allocated quota available with GNCTD</t>
  </si>
  <si>
    <t>Through DVC</t>
  </si>
  <si>
    <t>TOTAL AVAILIBILITY</t>
  </si>
  <si>
    <t xml:space="preserve">Anticipated Shortages (-) /Surplus (+) for NDPL area
</t>
  </si>
  <si>
    <t>BYPL POSITION</t>
  </si>
  <si>
    <t>(ii)</t>
  </si>
  <si>
    <t>Demand of BYPL (27.24% Energy Share) i.e. 27.24% of B.</t>
  </si>
  <si>
    <t>AVAILABILITY FOR BYPL</t>
  </si>
  <si>
    <t xml:space="preserve">Anticipated Shortages (-) /Surplus (+) for BYPL area. </t>
  </si>
  <si>
    <t>BRPL POSITION</t>
  </si>
  <si>
    <t>(iii)</t>
  </si>
  <si>
    <t>Demand of BRPL (43.58% Energy Share) i.e. 43.58% of B.</t>
  </si>
  <si>
    <t>AVAILABILITY FOR BRPL</t>
  </si>
  <si>
    <t>Anticipated Shortages (-) /Surplus (+) for BRPL area.</t>
  </si>
  <si>
    <t>NDMC POSITION</t>
  </si>
  <si>
    <t>(iv)</t>
  </si>
  <si>
    <t xml:space="preserve">Anticipated Demand of NDMC </t>
  </si>
  <si>
    <t>Anticipated Shortages (-) /Surplus (+) for NDMC area.</t>
  </si>
  <si>
    <t>MES POSITION</t>
  </si>
  <si>
    <t>(v)</t>
  </si>
  <si>
    <t>Anticipated Demand of MES</t>
  </si>
  <si>
    <t>AVAILABILITY FOR MES from BTPS</t>
  </si>
  <si>
    <t>Anticipated Shortages (-) /Surplus (+) for MES area.</t>
  </si>
  <si>
    <t>OVERALL SHORTGES(-) / SURPLUS(+) for DELHI</t>
  </si>
  <si>
    <t xml:space="preserve">TOTAL BILATERAL </t>
  </si>
  <si>
    <t>UNRESTRICTED DEMAND DURING THE MONTH IN 2007</t>
  </si>
  <si>
    <t>UNRESTRICTED DEMAND DURING THE MONTH IN 2008</t>
  </si>
  <si>
    <t>FEBRUARY 2009</t>
  </si>
  <si>
    <t>MARCH 2009</t>
  </si>
  <si>
    <t>**2</t>
  </si>
  <si>
    <r>
      <t>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Fortnight</t>
    </r>
  </si>
  <si>
    <r>
      <t>2</t>
    </r>
    <r>
      <rPr>
        <b/>
        <vertAlign val="superscript"/>
        <sz val="8"/>
        <rFont val="Arial"/>
        <family val="2"/>
      </rPr>
      <t>nd</t>
    </r>
    <r>
      <rPr>
        <b/>
        <sz val="8"/>
        <rFont val="Arial"/>
        <family val="2"/>
      </rPr>
      <t xml:space="preserve"> fortnight</t>
    </r>
  </si>
  <si>
    <r>
      <t>1</t>
    </r>
    <r>
      <rPr>
        <b/>
        <vertAlign val="superscript"/>
        <sz val="8"/>
        <rFont val="Arial"/>
        <family val="2"/>
      </rPr>
      <t>st</t>
    </r>
    <r>
      <rPr>
        <b/>
        <sz val="8"/>
        <rFont val="Arial"/>
        <family val="2"/>
      </rPr>
      <t xml:space="preserve"> fortnight</t>
    </r>
  </si>
  <si>
    <t xml:space="preserve">TOTAL </t>
  </si>
  <si>
    <t>AVAILABILITY FROM OWN SOURCES</t>
  </si>
  <si>
    <t xml:space="preserve"> AVAILABILITY FROM FIRM ALLOCATION **</t>
  </si>
  <si>
    <t>AVAILABILITY FROM UNALLOCATED QUOTA **</t>
  </si>
  <si>
    <t>AVAILIBILITY FROM CENTRAL SECTOR STATIONS</t>
  </si>
  <si>
    <t>All figures in MW at Delhi periphery</t>
  </si>
  <si>
    <t>Reducing peak demand for NDMC &amp; MES from A</t>
  </si>
  <si>
    <t>AVAILABILITY FOR NDMC from BTPS, DADRI &amp; PRAGATI.</t>
  </si>
  <si>
    <t>Less 15% power towards UA Quota of GNCTD</t>
  </si>
  <si>
    <t>Net Availibility for NDMC</t>
  </si>
  <si>
    <r>
      <t xml:space="preserve">                                          </t>
    </r>
    <r>
      <rPr>
        <b/>
        <u val="single"/>
        <sz val="12"/>
        <rFont val="Arial"/>
        <family val="2"/>
      </rPr>
      <t>ANTICIPATED POWER SUPPLY POSITION DURING PEAK HOURS FOR WINTER 2008-09</t>
    </r>
  </si>
  <si>
    <t>Un-allocated capacity(298.1 MW ) available with GNCTD has been allocated to BYPL, NDPL &amp; BRPL and UA power from NDMC Allocation to BRPL as per GNCTD order no. F.11(41)/2007/Power/868 dated 31-3-2008.</t>
  </si>
  <si>
    <t xml:space="preserve">                                                                                                                  (STATE LOAD DESPATCH CENTER)</t>
  </si>
  <si>
    <t>ALLOCATION FROM UNALLOCATED QUOTA OF CSGSs ASSUMED @ 6% for Morning and evening hours</t>
  </si>
  <si>
    <t>00-06 Hrs</t>
  </si>
  <si>
    <t>06-11 Hrs</t>
  </si>
  <si>
    <t>11-18 Hrs</t>
  </si>
  <si>
    <t>18-24 Hrs</t>
  </si>
  <si>
    <t xml:space="preserve">                                                                           (STATE LOAD DESPATCH CENTER)</t>
  </si>
  <si>
    <t xml:space="preserve">                                                              DELHI TRANSCO LTD.</t>
  </si>
  <si>
    <t xml:space="preserve">                                                               DELHI TRANSCO LTD.</t>
  </si>
  <si>
    <t xml:space="preserve">HYDRO CAPACITY IS ASSUMED AS 80% FOR ONE TO TWO HOURS DURING PEAK HOURS AND 30% DURING OFF-PEAK HOURS, </t>
  </si>
  <si>
    <t>THERMAL CAPACITY IS ASSUMED AS 95% AS PER CEA NORMS DURING WINTER MONTHS.</t>
  </si>
  <si>
    <t>**3</t>
  </si>
  <si>
    <t>TOTAL WITHIN DELHI with BTPS @ 95% availibility and other stations at 90% availibility.</t>
  </si>
  <si>
    <t>ANTICIPATED PEAK HOUR DEMAND FOR 2009-10 AS PER NRPC METHODOLOGY</t>
  </si>
  <si>
    <t xml:space="preserve">                     DETAILED ANTICIPATED POWER SUPPLY POSITION OF DELHI AS A WHOLE FOR DECEMBER 2009 &amp; JANUARY 2010</t>
  </si>
  <si>
    <t xml:space="preserve">                     DETAILED ANTICIPATED POWER SUPPLY POSITION OF DELHI AS A WHOLE FOR FEBRUARY - MARCH, 2010</t>
  </si>
  <si>
    <t>FEBRUARY 2010</t>
  </si>
  <si>
    <t>MARCH 2010</t>
  </si>
  <si>
    <t>DECEMBER 2009</t>
  </si>
  <si>
    <t>JANUARY, 2010</t>
  </si>
  <si>
    <t>ANTICIPATED DEMAND FOR 2009-10 AS PER NRPC METHOD</t>
  </si>
  <si>
    <t>BTPS 210 MW UNIT # 5 WILL BE UNDER PLANNED MAINTENANCE FOR THE PERIOD 1ST FEB TO 15TH MARCH 2010.</t>
  </si>
  <si>
    <t>BTPS 95 MW UNIT # 3 WILL BE UNDER PLANNED MAINTENANCE FOR THE PERIOD 16TH MARCH TO 11TH APRIL 2010.</t>
  </si>
  <si>
    <t>DADRI (Th) UNIT # 1 (210 MW) WILL BE UNDER PLANNED MAINTENANCE FROM 15TH MARCH TO 20TH APRIL 2010.</t>
  </si>
  <si>
    <t>AVAILIBILITY FROM UPCOMING CENTRAL SECTOR STATIONS</t>
  </si>
  <si>
    <t>TOTAL AVAILABILITY (4+5+6+7)</t>
  </si>
  <si>
    <t>SURPLUS (+) / SHORTAGE (-) (8) - (3)</t>
  </si>
  <si>
    <t>Dadri Stage-II Unit # 1 (490 MW) w.e.f January 2010</t>
  </si>
  <si>
    <t>Bilateral Arrangement of NDPL from Haryana (Return Banking)</t>
  </si>
  <si>
    <r>
      <t xml:space="preserve">ANTICIPATED DEMAND ROUNDED OFF </t>
    </r>
    <r>
      <rPr>
        <b/>
        <sz val="9"/>
        <rFont val="Arial"/>
        <family val="2"/>
      </rPr>
      <t>(Assuming 5% increase on maximum Demand of Last 8 Years)</t>
    </r>
  </si>
  <si>
    <t>BRPL Arrangement with HP (Forward Banking)</t>
  </si>
  <si>
    <t>BYPL Arrangement with HP (Forward Banking)</t>
  </si>
  <si>
    <t>BRPL Arrangement with J&amp;K (Return of Banked Power 110 MW)</t>
  </si>
  <si>
    <t>NDPL Bilateral Arrangement from Haryana (Return Banking)</t>
  </si>
  <si>
    <t>BRPL Forward Banking with HP</t>
  </si>
  <si>
    <t>BYPL Forward Banking with HP</t>
  </si>
  <si>
    <t>As on 13-10-2009</t>
  </si>
  <si>
    <r>
      <t xml:space="preserve">                                          </t>
    </r>
    <r>
      <rPr>
        <b/>
        <u val="single"/>
        <sz val="12"/>
        <rFont val="Arial"/>
        <family val="2"/>
      </rPr>
      <t>ANTICIPATED POWER SUPPLY POSITION DURING PEAK HOURS FOR WINTER 2009-10</t>
    </r>
  </si>
  <si>
    <t>Additional availibility of 440 MW from upcoming Dadri(Th) Stage-II Project has been considered w.e.f. 1st January 2010.</t>
  </si>
  <si>
    <t>BTPS UNIT # 2 (95 MW) SHALL BE UNDER MAINTENANCE FROM 24TH OCTOBER TO 10TH DECEMBER 2009.</t>
  </si>
  <si>
    <t>ANNEXURE-2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</si>
</sst>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00"/>
    <numFmt numFmtId="172" formatCode="0.0000000"/>
    <numFmt numFmtId="173" formatCode="0.000000"/>
    <numFmt numFmtId="174" formatCode="0.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0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1"/>
      <name val="Arial"/>
      <family val="2"/>
    </font>
    <font>
      <b/>
      <sz val="10"/>
      <color indexed="17"/>
      <name val="Arial"/>
      <family val="0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center" vertical="top"/>
    </xf>
    <xf numFmtId="49" fontId="0" fillId="0" borderId="12" xfId="0" applyNumberForma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 vertical="top" wrapText="1"/>
    </xf>
    <xf numFmtId="0" fontId="0" fillId="0" borderId="15" xfId="0" applyBorder="1" applyAlignment="1">
      <alignment/>
    </xf>
    <xf numFmtId="1" fontId="0" fillId="0" borderId="0" xfId="0" applyNumberFormat="1" applyAlignment="1">
      <alignment/>
    </xf>
    <xf numFmtId="1" fontId="4" fillId="0" borderId="15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 vertical="top" wrapText="1"/>
    </xf>
    <xf numFmtId="1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/>
    </xf>
    <xf numFmtId="0" fontId="5" fillId="0" borderId="20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12" fillId="0" borderId="0" xfId="0" applyFont="1" applyAlignment="1">
      <alignment/>
    </xf>
    <xf numFmtId="1" fontId="13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top"/>
    </xf>
    <xf numFmtId="0" fontId="4" fillId="0" borderId="5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6" xfId="0" applyFont="1" applyFill="1" applyBorder="1" applyAlignment="1">
      <alignment wrapText="1"/>
    </xf>
    <xf numFmtId="49" fontId="0" fillId="0" borderId="10" xfId="0" applyNumberFormat="1" applyFont="1" applyBorder="1" applyAlignment="1">
      <alignment vertical="top" wrapText="1"/>
    </xf>
    <xf numFmtId="49" fontId="0" fillId="0" borderId="27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horizontal="right" vertical="top" wrapText="1"/>
    </xf>
    <xf numFmtId="0" fontId="0" fillId="0" borderId="28" xfId="0" applyFont="1" applyBorder="1" applyAlignment="1">
      <alignment horizontal="center" vertical="top"/>
    </xf>
    <xf numFmtId="0" fontId="0" fillId="0" borderId="28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49" fontId="4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2" fillId="0" borderId="4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6" xfId="0" applyFont="1" applyBorder="1" applyAlignment="1">
      <alignment horizontal="center" vertical="top"/>
    </xf>
    <xf numFmtId="0" fontId="4" fillId="0" borderId="7" xfId="0" applyFont="1" applyFill="1" applyBorder="1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9" xfId="0" applyFont="1" applyBorder="1" applyAlignment="1">
      <alignment horizontal="center"/>
    </xf>
    <xf numFmtId="49" fontId="22" fillId="0" borderId="10" xfId="0" applyNumberFormat="1" applyFont="1" applyBorder="1" applyAlignment="1">
      <alignment horizontal="left" vertical="top" wrapText="1"/>
    </xf>
    <xf numFmtId="0" fontId="21" fillId="0" borderId="23" xfId="0" applyFont="1" applyBorder="1" applyAlignment="1">
      <alignment horizontal="center"/>
    </xf>
    <xf numFmtId="49" fontId="21" fillId="0" borderId="26" xfId="0" applyNumberFormat="1" applyFont="1" applyBorder="1" applyAlignment="1">
      <alignment horizontal="left" vertical="top" wrapText="1"/>
    </xf>
    <xf numFmtId="1" fontId="21" fillId="0" borderId="31" xfId="0" applyNumberFormat="1" applyFont="1" applyBorder="1" applyAlignment="1">
      <alignment horizontal="center" vertical="top"/>
    </xf>
    <xf numFmtId="0" fontId="21" fillId="0" borderId="24" xfId="0" applyFont="1" applyBorder="1" applyAlignment="1">
      <alignment horizontal="center"/>
    </xf>
    <xf numFmtId="49" fontId="21" fillId="0" borderId="22" xfId="0" applyNumberFormat="1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/>
    </xf>
    <xf numFmtId="49" fontId="22" fillId="0" borderId="17" xfId="0" applyNumberFormat="1" applyFont="1" applyBorder="1" applyAlignment="1">
      <alignment horizontal="left" vertical="top" wrapText="1"/>
    </xf>
    <xf numFmtId="170" fontId="21" fillId="0" borderId="0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4" xfId="0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top" wrapText="1"/>
    </xf>
    <xf numFmtId="0" fontId="4" fillId="0" borderId="22" xfId="0" applyFont="1" applyFill="1" applyBorder="1" applyAlignment="1">
      <alignment wrapText="1"/>
    </xf>
    <xf numFmtId="49" fontId="0" fillId="0" borderId="17" xfId="0" applyNumberFormat="1" applyFont="1" applyBorder="1" applyAlignment="1">
      <alignment vertical="top" wrapText="1"/>
    </xf>
    <xf numFmtId="49" fontId="4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0" borderId="13" xfId="0" applyFont="1" applyBorder="1" applyAlignment="1">
      <alignment horizontal="left" wrapText="1"/>
    </xf>
    <xf numFmtId="0" fontId="4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top"/>
    </xf>
    <xf numFmtId="0" fontId="16" fillId="0" borderId="40" xfId="0" applyFont="1" applyBorder="1" applyAlignment="1">
      <alignment horizontal="center" vertical="top" wrapText="1"/>
    </xf>
    <xf numFmtId="1" fontId="0" fillId="0" borderId="43" xfId="0" applyNumberFormat="1" applyFont="1" applyBorder="1" applyAlignment="1">
      <alignment horizontal="center" wrapText="1"/>
    </xf>
    <xf numFmtId="1" fontId="0" fillId="0" borderId="44" xfId="0" applyNumberFormat="1" applyFont="1" applyBorder="1" applyAlignment="1">
      <alignment horizontal="center" wrapText="1"/>
    </xf>
    <xf numFmtId="1" fontId="0" fillId="0" borderId="45" xfId="0" applyNumberFormat="1" applyFont="1" applyBorder="1" applyAlignment="1">
      <alignment horizontal="center" wrapText="1"/>
    </xf>
    <xf numFmtId="1" fontId="0" fillId="0" borderId="33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1" fontId="9" fillId="0" borderId="4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22" fillId="0" borderId="34" xfId="0" applyNumberFormat="1" applyFont="1" applyBorder="1" applyAlignment="1">
      <alignment horizontal="center" vertical="top"/>
    </xf>
    <xf numFmtId="1" fontId="22" fillId="0" borderId="36" xfId="0" applyNumberFormat="1" applyFont="1" applyBorder="1" applyAlignment="1">
      <alignment horizontal="center" vertical="top"/>
    </xf>
    <xf numFmtId="1" fontId="24" fillId="0" borderId="40" xfId="0" applyNumberFormat="1" applyFont="1" applyBorder="1" applyAlignment="1">
      <alignment horizontal="center" vertical="top"/>
    </xf>
    <xf numFmtId="1" fontId="24" fillId="0" borderId="42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1" fontId="4" fillId="0" borderId="40" xfId="0" applyNumberFormat="1" applyFont="1" applyBorder="1" applyAlignment="1">
      <alignment horizontal="center" vertical="top"/>
    </xf>
    <xf numFmtId="1" fontId="4" fillId="0" borderId="42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21" fillId="0" borderId="39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1" fontId="9" fillId="0" borderId="40" xfId="0" applyNumberFormat="1" applyFont="1" applyBorder="1" applyAlignment="1">
      <alignment horizontal="center" vertical="top"/>
    </xf>
    <xf numFmtId="1" fontId="9" fillId="0" borderId="42" xfId="0" applyNumberFormat="1" applyFont="1" applyBorder="1" applyAlignment="1">
      <alignment horizontal="center" vertical="top"/>
    </xf>
    <xf numFmtId="1" fontId="21" fillId="0" borderId="48" xfId="0" applyNumberFormat="1" applyFon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0" fontId="16" fillId="0" borderId="48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0" fillId="0" borderId="40" xfId="0" applyBorder="1" applyAlignment="1">
      <alignment/>
    </xf>
    <xf numFmtId="1" fontId="0" fillId="0" borderId="42" xfId="0" applyNumberFormat="1" applyBorder="1" applyAlignment="1">
      <alignment horizontal="center" vertical="top"/>
    </xf>
    <xf numFmtId="0" fontId="0" fillId="0" borderId="42" xfId="0" applyBorder="1" applyAlignment="1">
      <alignment/>
    </xf>
    <xf numFmtId="1" fontId="4" fillId="0" borderId="40" xfId="0" applyNumberFormat="1" applyFont="1" applyFill="1" applyBorder="1" applyAlignment="1">
      <alignment horizontal="center" vertical="center" wrapText="1"/>
    </xf>
    <xf numFmtId="1" fontId="25" fillId="0" borderId="42" xfId="0" applyNumberFormat="1" applyFont="1" applyBorder="1" applyAlignment="1">
      <alignment horizontal="center" vertical="top"/>
    </xf>
    <xf numFmtId="0" fontId="0" fillId="0" borderId="50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" fontId="9" fillId="0" borderId="29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wrapText="1"/>
    </xf>
    <xf numFmtId="1" fontId="0" fillId="0" borderId="38" xfId="0" applyNumberFormat="1" applyFont="1" applyBorder="1" applyAlignment="1">
      <alignment horizontal="center" wrapText="1"/>
    </xf>
    <xf numFmtId="1" fontId="0" fillId="0" borderId="39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3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43" xfId="0" applyNumberFormat="1" applyFont="1" applyBorder="1" applyAlignment="1">
      <alignment horizontal="center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1" fontId="0" fillId="0" borderId="44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25" fillId="0" borderId="41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53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1" fontId="4" fillId="0" borderId="40" xfId="0" applyNumberFormat="1" applyFont="1" applyBorder="1" applyAlignment="1">
      <alignment horizontal="center" wrapText="1"/>
    </xf>
    <xf numFmtId="1" fontId="4" fillId="0" borderId="41" xfId="0" applyNumberFormat="1" applyFont="1" applyBorder="1" applyAlignment="1">
      <alignment horizontal="center" wrapText="1"/>
    </xf>
    <xf numFmtId="1" fontId="4" fillId="0" borderId="42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28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Fill="1" applyBorder="1" applyAlignment="1">
      <alignment wrapText="1"/>
    </xf>
    <xf numFmtId="1" fontId="28" fillId="0" borderId="53" xfId="0" applyNumberFormat="1" applyFont="1" applyBorder="1" applyAlignment="1">
      <alignment horizontal="center" wrapText="1"/>
    </xf>
    <xf numFmtId="1" fontId="28" fillId="0" borderId="57" xfId="0" applyNumberFormat="1" applyFont="1" applyBorder="1" applyAlignment="1">
      <alignment horizontal="center" wrapText="1"/>
    </xf>
    <xf numFmtId="1" fontId="28" fillId="0" borderId="58" xfId="0" applyNumberFormat="1" applyFont="1" applyBorder="1" applyAlignment="1">
      <alignment horizontal="center" wrapText="1"/>
    </xf>
    <xf numFmtId="1" fontId="28" fillId="0" borderId="55" xfId="0" applyNumberFormat="1" applyFont="1" applyBorder="1" applyAlignment="1">
      <alignment horizontal="center" wrapText="1"/>
    </xf>
    <xf numFmtId="1" fontId="25" fillId="0" borderId="29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wrapText="1"/>
    </xf>
    <xf numFmtId="1" fontId="0" fillId="0" borderId="59" xfId="0" applyNumberFormat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/>
    </xf>
    <xf numFmtId="0" fontId="16" fillId="0" borderId="60" xfId="0" applyFont="1" applyBorder="1" applyAlignment="1">
      <alignment horizontal="center" vertical="top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center" vertical="top"/>
    </xf>
    <xf numFmtId="0" fontId="0" fillId="0" borderId="61" xfId="0" applyBorder="1" applyAlignment="1">
      <alignment/>
    </xf>
    <xf numFmtId="1" fontId="21" fillId="0" borderId="60" xfId="0" applyNumberFormat="1" applyFont="1" applyBorder="1" applyAlignment="1">
      <alignment horizontal="center" vertical="top"/>
    </xf>
    <xf numFmtId="1" fontId="4" fillId="0" borderId="59" xfId="0" applyNumberFormat="1" applyFont="1" applyBorder="1" applyAlignment="1">
      <alignment horizontal="center" vertical="top"/>
    </xf>
    <xf numFmtId="1" fontId="0" fillId="0" borderId="59" xfId="0" applyNumberFormat="1" applyFont="1" applyBorder="1" applyAlignment="1">
      <alignment horizontal="center" vertical="top"/>
    </xf>
    <xf numFmtId="0" fontId="0" fillId="0" borderId="58" xfId="0" applyFont="1" applyBorder="1" applyAlignment="1">
      <alignment horizontal="center" wrapText="1"/>
    </xf>
    <xf numFmtId="1" fontId="22" fillId="0" borderId="62" xfId="0" applyNumberFormat="1" applyFont="1" applyBorder="1" applyAlignment="1">
      <alignment horizontal="center" vertical="top"/>
    </xf>
    <xf numFmtId="1" fontId="22" fillId="0" borderId="45" xfId="0" applyNumberFormat="1" applyFont="1" applyBorder="1" applyAlignment="1">
      <alignment horizontal="center" vertical="top"/>
    </xf>
    <xf numFmtId="1" fontId="22" fillId="0" borderId="44" xfId="0" applyNumberFormat="1" applyFont="1" applyBorder="1" applyAlignment="1">
      <alignment horizontal="center" vertical="top"/>
    </xf>
    <xf numFmtId="1" fontId="22" fillId="0" borderId="53" xfId="0" applyNumberFormat="1" applyFont="1" applyBorder="1" applyAlignment="1">
      <alignment horizontal="center" vertical="top"/>
    </xf>
    <xf numFmtId="1" fontId="22" fillId="0" borderId="55" xfId="0" applyNumberFormat="1" applyFont="1" applyBorder="1" applyAlignment="1">
      <alignment horizontal="center" vertical="top"/>
    </xf>
    <xf numFmtId="0" fontId="0" fillId="0" borderId="49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1" fontId="28" fillId="0" borderId="40" xfId="0" applyNumberFormat="1" applyFont="1" applyBorder="1" applyAlignment="1">
      <alignment horizontal="center" vertical="center" wrapText="1"/>
    </xf>
    <xf numFmtId="1" fontId="28" fillId="0" borderId="41" xfId="0" applyNumberFormat="1" applyFont="1" applyBorder="1" applyAlignment="1">
      <alignment horizontal="center" vertical="center" wrapText="1"/>
    </xf>
    <xf numFmtId="1" fontId="28" fillId="0" borderId="61" xfId="0" applyNumberFormat="1" applyFont="1" applyBorder="1" applyAlignment="1">
      <alignment horizontal="center" vertical="center" wrapText="1"/>
    </xf>
    <xf numFmtId="1" fontId="28" fillId="0" borderId="4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Fill="1" applyBorder="1" applyAlignment="1">
      <alignment wrapText="1"/>
    </xf>
    <xf numFmtId="0" fontId="0" fillId="0" borderId="59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1" fontId="0" fillId="0" borderId="63" xfId="0" applyNumberFormat="1" applyFont="1" applyBorder="1" applyAlignment="1">
      <alignment horizontal="center" vertical="top"/>
    </xf>
    <xf numFmtId="1" fontId="0" fillId="0" borderId="48" xfId="0" applyNumberFormat="1" applyFont="1" applyBorder="1" applyAlignment="1">
      <alignment horizontal="center" vertical="top"/>
    </xf>
    <xf numFmtId="1" fontId="0" fillId="0" borderId="31" xfId="0" applyNumberFormat="1" applyFont="1" applyBorder="1" applyAlignment="1">
      <alignment horizontal="center" vertical="top"/>
    </xf>
    <xf numFmtId="1" fontId="24" fillId="0" borderId="61" xfId="0" applyNumberFormat="1" applyFont="1" applyBorder="1" applyAlignment="1">
      <alignment horizontal="center" vertical="top"/>
    </xf>
    <xf numFmtId="49" fontId="22" fillId="0" borderId="22" xfId="0" applyNumberFormat="1" applyFont="1" applyBorder="1" applyAlignment="1">
      <alignment horizontal="left" vertical="top" wrapText="1"/>
    </xf>
    <xf numFmtId="0" fontId="0" fillId="0" borderId="12" xfId="0" applyFont="1" applyFill="1" applyBorder="1" applyAlignment="1">
      <alignment wrapText="1"/>
    </xf>
    <xf numFmtId="1" fontId="22" fillId="0" borderId="58" xfId="0" applyNumberFormat="1" applyFont="1" applyBorder="1" applyAlignment="1">
      <alignment horizontal="center" vertical="top"/>
    </xf>
    <xf numFmtId="1" fontId="9" fillId="0" borderId="61" xfId="0" applyNumberFormat="1" applyFont="1" applyBorder="1" applyAlignment="1">
      <alignment horizontal="center" vertical="top"/>
    </xf>
    <xf numFmtId="1" fontId="22" fillId="0" borderId="19" xfId="0" applyNumberFormat="1" applyFont="1" applyBorder="1" applyAlignment="1">
      <alignment horizontal="center" vertical="top"/>
    </xf>
    <xf numFmtId="1" fontId="22" fillId="0" borderId="16" xfId="0" applyNumberFormat="1" applyFont="1" applyBorder="1" applyAlignment="1">
      <alignment horizontal="center" vertical="top"/>
    </xf>
    <xf numFmtId="0" fontId="0" fillId="0" borderId="9" xfId="0" applyFont="1" applyFill="1" applyBorder="1" applyAlignment="1">
      <alignment wrapText="1"/>
    </xf>
    <xf numFmtId="17" fontId="5" fillId="0" borderId="8" xfId="0" applyNumberFormat="1" applyFont="1" applyBorder="1" applyAlignment="1" quotePrefix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4" fillId="0" borderId="5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4" fillId="0" borderId="67" xfId="0" applyFont="1" applyBorder="1" applyAlignment="1">
      <alignment horizontal="center" vertical="top" wrapText="1"/>
    </xf>
    <xf numFmtId="0" fontId="0" fillId="0" borderId="58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8" xfId="0" applyFont="1" applyBorder="1" applyAlignment="1" quotePrefix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64" xfId="0" applyBorder="1" applyAlignment="1">
      <alignment/>
    </xf>
    <xf numFmtId="49" fontId="9" fillId="0" borderId="8" xfId="0" applyNumberFormat="1" applyFont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49" fontId="9" fillId="0" borderId="20" xfId="0" applyNumberFormat="1" applyFont="1" applyBorder="1" applyAlignment="1">
      <alignment horizontal="left" vertical="top" wrapText="1"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9"/>
  <sheetViews>
    <sheetView tabSelected="1" zoomScale="75" zoomScaleNormal="75" workbookViewId="0" topLeftCell="A1">
      <selection activeCell="K2" sqref="K2"/>
    </sheetView>
  </sheetViews>
  <sheetFormatPr defaultColWidth="9.140625" defaultRowHeight="12.75"/>
  <cols>
    <col min="1" max="1" width="1.421875" style="0" customWidth="1"/>
    <col min="2" max="2" width="5.57421875" style="0" customWidth="1"/>
    <col min="3" max="3" width="52.28125" style="0" customWidth="1"/>
    <col min="4" max="4" width="7.00390625" style="0" customWidth="1"/>
    <col min="5" max="5" width="7.421875" style="0" customWidth="1"/>
    <col min="6" max="6" width="7.28125" style="0" customWidth="1"/>
    <col min="7" max="7" width="7.7109375" style="0" customWidth="1"/>
    <col min="8" max="8" width="7.00390625" style="0" customWidth="1"/>
    <col min="9" max="11" width="7.28125" style="0" customWidth="1"/>
    <col min="12" max="12" width="6.851562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140625" style="0" customWidth="1"/>
    <col min="17" max="18" width="6.8515625" style="0" customWidth="1"/>
    <col min="19" max="20" width="7.8515625" style="0" customWidth="1"/>
    <col min="21" max="22" width="8.00390625" style="0" customWidth="1"/>
    <col min="23" max="24" width="8.140625" style="0" customWidth="1"/>
    <col min="25" max="26" width="8.7109375" style="0" customWidth="1"/>
    <col min="27" max="27" width="8.140625" style="0" customWidth="1"/>
  </cols>
  <sheetData>
    <row r="1" spans="2:27" ht="12.75">
      <c r="B1" s="54"/>
      <c r="C1" s="56"/>
      <c r="D1" s="56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3:11" ht="18">
      <c r="C2" s="79" t="s">
        <v>90</v>
      </c>
      <c r="F2" s="79"/>
      <c r="K2" s="1" t="s">
        <v>123</v>
      </c>
    </row>
    <row r="3" spans="3:4" ht="15">
      <c r="C3" s="80" t="s">
        <v>89</v>
      </c>
      <c r="D3" s="80"/>
    </row>
    <row r="4" ht="6.75" customHeight="1"/>
    <row r="5" spans="3:26" ht="15.75">
      <c r="C5" s="7" t="s">
        <v>97</v>
      </c>
      <c r="D5" s="1"/>
      <c r="Z5" s="91"/>
    </row>
    <row r="6" spans="3:26" ht="15.75">
      <c r="C6" s="7"/>
      <c r="D6" s="1"/>
      <c r="Q6" s="91" t="s">
        <v>119</v>
      </c>
      <c r="Z6" s="91"/>
    </row>
    <row r="7" ht="12" customHeight="1" thickBot="1">
      <c r="O7" s="1" t="s">
        <v>76</v>
      </c>
    </row>
    <row r="8" spans="2:27" ht="13.5" thickBot="1">
      <c r="B8" s="61" t="s">
        <v>1</v>
      </c>
      <c r="C8" s="122" t="s">
        <v>2</v>
      </c>
      <c r="D8" s="117"/>
      <c r="E8" s="287" t="s">
        <v>101</v>
      </c>
      <c r="F8" s="287"/>
      <c r="G8" s="288"/>
      <c r="H8" s="288"/>
      <c r="I8" s="288"/>
      <c r="J8" s="288"/>
      <c r="K8" s="289"/>
      <c r="L8" s="284" t="s">
        <v>102</v>
      </c>
      <c r="M8" s="285"/>
      <c r="N8" s="285"/>
      <c r="O8" s="285"/>
      <c r="P8" s="285"/>
      <c r="Q8" s="285"/>
      <c r="R8" s="285"/>
      <c r="S8" s="286"/>
      <c r="T8" s="54"/>
      <c r="U8" s="54"/>
      <c r="V8" s="54"/>
      <c r="W8" s="54"/>
      <c r="X8" s="54"/>
      <c r="Y8" s="54"/>
      <c r="Z8" s="54"/>
      <c r="AA8" s="54"/>
    </row>
    <row r="9" spans="2:27" ht="13.5" thickBot="1">
      <c r="B9" s="62" t="s">
        <v>3</v>
      </c>
      <c r="C9" s="123"/>
      <c r="D9" s="121"/>
      <c r="E9" s="290" t="s">
        <v>68</v>
      </c>
      <c r="F9" s="290"/>
      <c r="G9" s="291"/>
      <c r="H9" s="121"/>
      <c r="I9" s="283" t="s">
        <v>69</v>
      </c>
      <c r="J9" s="290"/>
      <c r="K9" s="291"/>
      <c r="L9" s="283" t="s">
        <v>68</v>
      </c>
      <c r="M9" s="298"/>
      <c r="N9" s="298"/>
      <c r="O9" s="299"/>
      <c r="P9" s="283" t="s">
        <v>69</v>
      </c>
      <c r="Q9" s="281"/>
      <c r="R9" s="281"/>
      <c r="S9" s="282"/>
      <c r="T9" s="54"/>
      <c r="U9" s="54"/>
      <c r="V9" s="54"/>
      <c r="W9" s="54"/>
      <c r="X9" s="54"/>
      <c r="Y9" s="54"/>
      <c r="Z9" s="54"/>
      <c r="AA9" s="54"/>
    </row>
    <row r="10" spans="2:27" ht="23.25" thickBot="1">
      <c r="B10" s="152"/>
      <c r="C10" s="153"/>
      <c r="D10" s="143" t="s">
        <v>85</v>
      </c>
      <c r="E10" s="160" t="s">
        <v>86</v>
      </c>
      <c r="F10" s="160" t="s">
        <v>87</v>
      </c>
      <c r="G10" s="161" t="s">
        <v>88</v>
      </c>
      <c r="H10" s="143" t="s">
        <v>85</v>
      </c>
      <c r="I10" s="160" t="s">
        <v>86</v>
      </c>
      <c r="J10" s="160" t="s">
        <v>87</v>
      </c>
      <c r="K10" s="161" t="s">
        <v>88</v>
      </c>
      <c r="L10" s="143" t="s">
        <v>85</v>
      </c>
      <c r="M10" s="160" t="s">
        <v>86</v>
      </c>
      <c r="N10" s="160" t="s">
        <v>87</v>
      </c>
      <c r="O10" s="161" t="s">
        <v>88</v>
      </c>
      <c r="P10" s="143" t="s">
        <v>85</v>
      </c>
      <c r="Q10" s="160" t="s">
        <v>86</v>
      </c>
      <c r="R10" s="160" t="s">
        <v>87</v>
      </c>
      <c r="S10" s="161" t="s">
        <v>88</v>
      </c>
      <c r="T10" s="54"/>
      <c r="U10" s="54"/>
      <c r="V10" s="54"/>
      <c r="W10" s="54"/>
      <c r="X10" s="54"/>
      <c r="Y10" s="54"/>
      <c r="Z10" s="54"/>
      <c r="AA10" s="54"/>
    </row>
    <row r="11" spans="2:27" ht="16.5" customHeight="1">
      <c r="B11" s="69">
        <v>1</v>
      </c>
      <c r="C11" s="124" t="s">
        <v>4</v>
      </c>
      <c r="D11" s="292"/>
      <c r="E11" s="126"/>
      <c r="F11" s="295"/>
      <c r="G11" s="127"/>
      <c r="H11" s="292"/>
      <c r="I11" s="126"/>
      <c r="J11" s="295"/>
      <c r="K11" s="127"/>
      <c r="L11" s="292"/>
      <c r="M11" s="126"/>
      <c r="N11" s="295"/>
      <c r="O11" s="127"/>
      <c r="P11" s="292"/>
      <c r="Q11" s="126"/>
      <c r="R11" s="295"/>
      <c r="S11" s="127"/>
      <c r="T11" s="54"/>
      <c r="U11" s="54"/>
      <c r="V11" s="54"/>
      <c r="W11" s="54"/>
      <c r="X11" s="54"/>
      <c r="Y11" s="54"/>
      <c r="Z11" s="54"/>
      <c r="AA11" s="54"/>
    </row>
    <row r="12" spans="2:27" ht="16.5" customHeight="1">
      <c r="B12" s="64" t="s">
        <v>5</v>
      </c>
      <c r="C12" s="205" t="s">
        <v>8</v>
      </c>
      <c r="D12" s="293"/>
      <c r="E12" s="206">
        <v>2739</v>
      </c>
      <c r="F12" s="296"/>
      <c r="G12" s="130">
        <v>2623</v>
      </c>
      <c r="H12" s="293"/>
      <c r="I12" s="206">
        <v>2703</v>
      </c>
      <c r="J12" s="296"/>
      <c r="K12" s="130">
        <v>2611</v>
      </c>
      <c r="L12" s="293"/>
      <c r="M12" s="206">
        <v>3054</v>
      </c>
      <c r="N12" s="296"/>
      <c r="O12" s="130">
        <v>2893</v>
      </c>
      <c r="P12" s="293"/>
      <c r="Q12" s="206">
        <v>3072</v>
      </c>
      <c r="R12" s="296"/>
      <c r="S12" s="130">
        <v>2844</v>
      </c>
      <c r="T12" s="54"/>
      <c r="U12" s="54"/>
      <c r="V12" s="54"/>
      <c r="W12" s="54"/>
      <c r="X12" s="54"/>
      <c r="Y12" s="54"/>
      <c r="Z12" s="54"/>
      <c r="AA12" s="54"/>
    </row>
    <row r="13" spans="2:27" ht="16.5" customHeight="1">
      <c r="B13" s="64" t="s">
        <v>6</v>
      </c>
      <c r="C13" s="205" t="s">
        <v>10</v>
      </c>
      <c r="D13" s="293"/>
      <c r="E13" s="206">
        <v>2703</v>
      </c>
      <c r="F13" s="296"/>
      <c r="G13" s="130">
        <v>2576</v>
      </c>
      <c r="H13" s="293"/>
      <c r="I13" s="206">
        <v>2778</v>
      </c>
      <c r="J13" s="296"/>
      <c r="K13" s="130">
        <v>2754</v>
      </c>
      <c r="L13" s="293"/>
      <c r="M13" s="206">
        <v>3018</v>
      </c>
      <c r="N13" s="296"/>
      <c r="O13" s="130">
        <v>2919</v>
      </c>
      <c r="P13" s="293"/>
      <c r="Q13" s="206">
        <v>3060</v>
      </c>
      <c r="R13" s="296"/>
      <c r="S13" s="130">
        <v>2910</v>
      </c>
      <c r="T13" s="54"/>
      <c r="U13" s="54"/>
      <c r="V13" s="54"/>
      <c r="W13" s="54"/>
      <c r="X13" s="54"/>
      <c r="Y13" s="54"/>
      <c r="Z13" s="54"/>
      <c r="AA13" s="54"/>
    </row>
    <row r="14" spans="2:27" ht="16.5" customHeight="1">
      <c r="B14" s="64" t="s">
        <v>7</v>
      </c>
      <c r="C14" s="205" t="s">
        <v>12</v>
      </c>
      <c r="D14" s="293"/>
      <c r="E14" s="206">
        <v>2894</v>
      </c>
      <c r="F14" s="296"/>
      <c r="G14" s="130">
        <v>2782</v>
      </c>
      <c r="H14" s="293"/>
      <c r="I14" s="206">
        <v>2926</v>
      </c>
      <c r="J14" s="296"/>
      <c r="K14" s="130">
        <v>2733</v>
      </c>
      <c r="L14" s="293"/>
      <c r="M14" s="206">
        <v>3356</v>
      </c>
      <c r="N14" s="296"/>
      <c r="O14" s="130">
        <v>3191</v>
      </c>
      <c r="P14" s="293"/>
      <c r="Q14" s="206">
        <v>3417</v>
      </c>
      <c r="R14" s="296"/>
      <c r="S14" s="130">
        <v>3319</v>
      </c>
      <c r="T14" s="54"/>
      <c r="U14" s="54"/>
      <c r="V14" s="54"/>
      <c r="W14" s="54"/>
      <c r="X14" s="54"/>
      <c r="Y14" s="54"/>
      <c r="Z14" s="54"/>
      <c r="AA14" s="54"/>
    </row>
    <row r="15" spans="2:27" ht="16.5" customHeight="1">
      <c r="B15" s="64" t="s">
        <v>9</v>
      </c>
      <c r="C15" s="205" t="s">
        <v>14</v>
      </c>
      <c r="D15" s="293"/>
      <c r="E15" s="206">
        <v>2960</v>
      </c>
      <c r="F15" s="296"/>
      <c r="G15" s="130">
        <v>2831</v>
      </c>
      <c r="H15" s="293"/>
      <c r="I15" s="206">
        <v>3354</v>
      </c>
      <c r="J15" s="296"/>
      <c r="K15" s="130">
        <v>3115</v>
      </c>
      <c r="L15" s="293"/>
      <c r="M15" s="206">
        <v>3372</v>
      </c>
      <c r="N15" s="296"/>
      <c r="O15" s="130">
        <v>3233</v>
      </c>
      <c r="P15" s="293"/>
      <c r="Q15" s="206">
        <v>3149</v>
      </c>
      <c r="R15" s="296"/>
      <c r="S15" s="130">
        <v>3048</v>
      </c>
      <c r="T15" s="54"/>
      <c r="U15" s="54"/>
      <c r="V15" s="54"/>
      <c r="W15" s="54"/>
      <c r="X15" s="54"/>
      <c r="Y15" s="54"/>
      <c r="Z15" s="54"/>
      <c r="AA15" s="54"/>
    </row>
    <row r="16" spans="2:27" ht="16.5" customHeight="1">
      <c r="B16" s="64" t="s">
        <v>11</v>
      </c>
      <c r="C16" s="205" t="s">
        <v>16</v>
      </c>
      <c r="D16" s="293"/>
      <c r="E16" s="206">
        <v>2870</v>
      </c>
      <c r="F16" s="296"/>
      <c r="G16" s="130">
        <v>2848</v>
      </c>
      <c r="H16" s="293"/>
      <c r="I16" s="206">
        <v>3168</v>
      </c>
      <c r="J16" s="296"/>
      <c r="K16" s="130">
        <v>2940</v>
      </c>
      <c r="L16" s="293"/>
      <c r="M16" s="206">
        <v>3168</v>
      </c>
      <c r="N16" s="296"/>
      <c r="O16" s="130">
        <v>3006</v>
      </c>
      <c r="P16" s="293"/>
      <c r="Q16" s="206">
        <v>3282</v>
      </c>
      <c r="R16" s="296"/>
      <c r="S16" s="130">
        <v>3112</v>
      </c>
      <c r="T16" s="54"/>
      <c r="U16" s="54"/>
      <c r="V16" s="54"/>
      <c r="W16" s="54"/>
      <c r="X16" s="54"/>
      <c r="Y16" s="54"/>
      <c r="Z16" s="54"/>
      <c r="AA16" s="54"/>
    </row>
    <row r="17" spans="2:27" ht="16.5" customHeight="1">
      <c r="B17" s="64" t="s">
        <v>13</v>
      </c>
      <c r="C17" s="205" t="s">
        <v>18</v>
      </c>
      <c r="D17" s="293"/>
      <c r="E17" s="206">
        <v>3086</v>
      </c>
      <c r="F17" s="296"/>
      <c r="G17" s="130">
        <v>3107</v>
      </c>
      <c r="H17" s="293"/>
      <c r="I17" s="206">
        <v>3394</v>
      </c>
      <c r="J17" s="296"/>
      <c r="K17" s="130">
        <v>3094</v>
      </c>
      <c r="L17" s="293"/>
      <c r="M17" s="206">
        <v>3516</v>
      </c>
      <c r="N17" s="296"/>
      <c r="O17" s="130">
        <v>3375</v>
      </c>
      <c r="P17" s="293"/>
      <c r="Q17" s="206">
        <v>3166</v>
      </c>
      <c r="R17" s="296"/>
      <c r="S17" s="130">
        <v>2990</v>
      </c>
      <c r="T17" s="54"/>
      <c r="U17" s="54"/>
      <c r="V17" s="54"/>
      <c r="W17" s="54"/>
      <c r="X17" s="54"/>
      <c r="Y17" s="54"/>
      <c r="Z17" s="54"/>
      <c r="AA17" s="54"/>
    </row>
    <row r="18" spans="2:27" ht="16.5" customHeight="1">
      <c r="B18" s="64" t="s">
        <v>15</v>
      </c>
      <c r="C18" s="205" t="s">
        <v>20</v>
      </c>
      <c r="D18" s="293"/>
      <c r="E18" s="206">
        <v>2986</v>
      </c>
      <c r="F18" s="296"/>
      <c r="G18" s="130">
        <v>3033</v>
      </c>
      <c r="H18" s="293"/>
      <c r="I18" s="206">
        <v>3059</v>
      </c>
      <c r="J18" s="296"/>
      <c r="K18" s="130">
        <v>2972</v>
      </c>
      <c r="L18" s="293"/>
      <c r="M18" s="206">
        <v>3293</v>
      </c>
      <c r="N18" s="296"/>
      <c r="O18" s="130">
        <v>3125</v>
      </c>
      <c r="P18" s="293"/>
      <c r="Q18" s="206">
        <v>3240</v>
      </c>
      <c r="R18" s="296"/>
      <c r="S18" s="130">
        <v>3049</v>
      </c>
      <c r="T18" s="54"/>
      <c r="U18" s="54"/>
      <c r="V18" s="54"/>
      <c r="W18" s="54"/>
      <c r="X18" s="54"/>
      <c r="Y18" s="54"/>
      <c r="Z18" s="54"/>
      <c r="AA18" s="54"/>
    </row>
    <row r="19" spans="2:27" ht="16.5" customHeight="1">
      <c r="B19" s="64" t="s">
        <v>17</v>
      </c>
      <c r="C19" s="205" t="s">
        <v>63</v>
      </c>
      <c r="D19" s="294"/>
      <c r="E19" s="206">
        <v>3015</v>
      </c>
      <c r="F19" s="297"/>
      <c r="G19" s="130">
        <v>2913</v>
      </c>
      <c r="H19" s="294"/>
      <c r="I19" s="206">
        <v>3229</v>
      </c>
      <c r="J19" s="297"/>
      <c r="K19" s="130">
        <v>3005</v>
      </c>
      <c r="L19" s="294"/>
      <c r="M19" s="206">
        <v>3353</v>
      </c>
      <c r="N19" s="297"/>
      <c r="O19" s="130">
        <v>3132</v>
      </c>
      <c r="P19" s="294"/>
      <c r="Q19" s="206">
        <v>3301</v>
      </c>
      <c r="R19" s="297"/>
      <c r="S19" s="130">
        <v>3318</v>
      </c>
      <c r="T19" s="54"/>
      <c r="U19" s="54"/>
      <c r="V19" s="54"/>
      <c r="W19" s="54"/>
      <c r="X19" s="54"/>
      <c r="Y19" s="54"/>
      <c r="Z19" s="54"/>
      <c r="AA19" s="54"/>
    </row>
    <row r="20" spans="2:27" ht="16.5" customHeight="1" thickBot="1">
      <c r="B20" s="64" t="s">
        <v>19</v>
      </c>
      <c r="C20" s="205" t="s">
        <v>64</v>
      </c>
      <c r="D20" s="207">
        <v>1415</v>
      </c>
      <c r="E20" s="208">
        <v>2866</v>
      </c>
      <c r="F20" s="209">
        <v>2390</v>
      </c>
      <c r="G20" s="210">
        <v>2874</v>
      </c>
      <c r="H20" s="207">
        <v>1416</v>
      </c>
      <c r="I20" s="208">
        <v>3182</v>
      </c>
      <c r="J20" s="209">
        <v>2659</v>
      </c>
      <c r="K20" s="210">
        <v>2970</v>
      </c>
      <c r="L20" s="207">
        <v>1567</v>
      </c>
      <c r="M20" s="208">
        <v>3229</v>
      </c>
      <c r="N20" s="209">
        <v>3055</v>
      </c>
      <c r="O20" s="210">
        <v>3074</v>
      </c>
      <c r="P20" s="207">
        <v>1519</v>
      </c>
      <c r="Q20" s="208">
        <v>3187</v>
      </c>
      <c r="R20" s="209">
        <v>3187</v>
      </c>
      <c r="S20" s="210">
        <v>3020</v>
      </c>
      <c r="T20" s="54"/>
      <c r="U20" s="54"/>
      <c r="V20" s="54"/>
      <c r="W20" s="54"/>
      <c r="X20" s="54"/>
      <c r="Y20" s="54"/>
      <c r="Z20" s="54"/>
      <c r="AA20" s="54"/>
    </row>
    <row r="21" spans="2:27" ht="30" customHeight="1" thickBot="1">
      <c r="B21" s="68">
        <v>2</v>
      </c>
      <c r="C21" s="125" t="s">
        <v>96</v>
      </c>
      <c r="D21" s="207"/>
      <c r="E21" s="208">
        <v>2821</v>
      </c>
      <c r="F21" s="209"/>
      <c r="G21" s="210">
        <v>2839</v>
      </c>
      <c r="H21" s="207"/>
      <c r="I21" s="208">
        <v>3192</v>
      </c>
      <c r="J21" s="209"/>
      <c r="K21" s="210">
        <v>2962</v>
      </c>
      <c r="L21" s="207"/>
      <c r="M21" s="208">
        <v>3193</v>
      </c>
      <c r="N21" s="209"/>
      <c r="O21" s="210">
        <v>3044</v>
      </c>
      <c r="P21" s="207"/>
      <c r="Q21" s="208">
        <v>3167</v>
      </c>
      <c r="R21" s="209"/>
      <c r="S21" s="210">
        <v>2993</v>
      </c>
      <c r="T21" s="54"/>
      <c r="U21" s="54"/>
      <c r="V21" s="54"/>
      <c r="W21" s="54"/>
      <c r="X21" s="54"/>
      <c r="Y21" s="54"/>
      <c r="Z21" s="54"/>
      <c r="AA21" s="54"/>
    </row>
    <row r="22" spans="2:27" ht="31.5" customHeight="1" thickBot="1">
      <c r="B22" s="12">
        <v>3</v>
      </c>
      <c r="C22" s="229" t="s">
        <v>112</v>
      </c>
      <c r="D22" s="256">
        <v>1450</v>
      </c>
      <c r="E22" s="257">
        <v>3300</v>
      </c>
      <c r="F22" s="258">
        <v>2400</v>
      </c>
      <c r="G22" s="259">
        <v>3300</v>
      </c>
      <c r="H22" s="256">
        <v>1450</v>
      </c>
      <c r="I22" s="257">
        <v>3500</v>
      </c>
      <c r="J22" s="258">
        <v>2700</v>
      </c>
      <c r="K22" s="259">
        <v>3400</v>
      </c>
      <c r="L22" s="256">
        <v>1600</v>
      </c>
      <c r="M22" s="257">
        <v>3500</v>
      </c>
      <c r="N22" s="258">
        <v>3100</v>
      </c>
      <c r="O22" s="259">
        <v>3500</v>
      </c>
      <c r="P22" s="256">
        <v>1550</v>
      </c>
      <c r="Q22" s="257">
        <v>3400</v>
      </c>
      <c r="R22" s="258">
        <v>3200</v>
      </c>
      <c r="S22" s="259">
        <v>3400</v>
      </c>
      <c r="T22" s="54"/>
      <c r="U22" s="54"/>
      <c r="V22" s="54"/>
      <c r="W22" s="54"/>
      <c r="X22" s="54"/>
      <c r="Y22" s="54"/>
      <c r="Z22" s="54"/>
      <c r="AA22" s="54"/>
    </row>
    <row r="23" spans="2:27" ht="12.75">
      <c r="B23" s="66"/>
      <c r="C23" s="118" t="s">
        <v>72</v>
      </c>
      <c r="D23" s="136"/>
      <c r="E23" s="137"/>
      <c r="F23" s="137"/>
      <c r="G23" s="137"/>
      <c r="H23" s="136"/>
      <c r="I23" s="137"/>
      <c r="J23" s="137"/>
      <c r="K23" s="138"/>
      <c r="L23" s="155"/>
      <c r="M23" s="156"/>
      <c r="N23" s="156"/>
      <c r="O23" s="193"/>
      <c r="P23" s="155"/>
      <c r="Q23" s="156"/>
      <c r="R23" s="156"/>
      <c r="S23" s="193"/>
      <c r="T23" s="54"/>
      <c r="U23" s="54"/>
      <c r="V23" s="54"/>
      <c r="W23" s="54"/>
      <c r="X23" s="54"/>
      <c r="Y23" s="54"/>
      <c r="Z23" s="54"/>
      <c r="AA23" s="54"/>
    </row>
    <row r="24" spans="2:27" ht="12.75">
      <c r="B24" s="64" t="s">
        <v>5</v>
      </c>
      <c r="C24" s="58" t="s">
        <v>25</v>
      </c>
      <c r="D24" s="162">
        <v>550</v>
      </c>
      <c r="E24" s="147">
        <v>550</v>
      </c>
      <c r="F24" s="147">
        <v>550</v>
      </c>
      <c r="G24" s="147">
        <v>550</v>
      </c>
      <c r="H24" s="128">
        <v>630</v>
      </c>
      <c r="I24" s="129">
        <v>630</v>
      </c>
      <c r="J24" s="129">
        <v>630</v>
      </c>
      <c r="K24" s="130">
        <v>630</v>
      </c>
      <c r="L24" s="128">
        <v>630</v>
      </c>
      <c r="M24" s="129">
        <v>630</v>
      </c>
      <c r="N24" s="129">
        <v>630</v>
      </c>
      <c r="O24" s="194">
        <v>630</v>
      </c>
      <c r="P24" s="128">
        <v>630</v>
      </c>
      <c r="Q24" s="129">
        <v>630</v>
      </c>
      <c r="R24" s="129">
        <v>630</v>
      </c>
      <c r="S24" s="194">
        <v>630</v>
      </c>
      <c r="T24" s="54"/>
      <c r="U24" s="54"/>
      <c r="V24" s="54"/>
      <c r="W24" s="54"/>
      <c r="X24" s="54"/>
      <c r="Y24" s="54"/>
      <c r="Z24" s="54"/>
      <c r="AA24" s="54"/>
    </row>
    <row r="25" spans="2:27" ht="12.75">
      <c r="B25" s="64" t="s">
        <v>6</v>
      </c>
      <c r="C25" s="58" t="s">
        <v>22</v>
      </c>
      <c r="D25" s="128">
        <v>95</v>
      </c>
      <c r="E25" s="129">
        <v>95</v>
      </c>
      <c r="F25" s="129">
        <v>95</v>
      </c>
      <c r="G25" s="129">
        <v>95</v>
      </c>
      <c r="H25" s="128">
        <v>95</v>
      </c>
      <c r="I25" s="129">
        <v>95</v>
      </c>
      <c r="J25" s="129">
        <v>95</v>
      </c>
      <c r="K25" s="130">
        <v>95</v>
      </c>
      <c r="L25" s="128">
        <v>95</v>
      </c>
      <c r="M25" s="129">
        <v>95</v>
      </c>
      <c r="N25" s="129">
        <v>95</v>
      </c>
      <c r="O25" s="194">
        <v>95</v>
      </c>
      <c r="P25" s="128">
        <v>95</v>
      </c>
      <c r="Q25" s="129">
        <v>95</v>
      </c>
      <c r="R25" s="129">
        <v>95</v>
      </c>
      <c r="S25" s="194">
        <v>95</v>
      </c>
      <c r="T25" s="54"/>
      <c r="U25" s="54"/>
      <c r="V25" s="54"/>
      <c r="W25" s="54"/>
      <c r="X25" s="54"/>
      <c r="Y25" s="54"/>
      <c r="Z25" s="54"/>
      <c r="AA25" s="54"/>
    </row>
    <row r="26" spans="2:27" ht="12.75">
      <c r="B26" s="64" t="s">
        <v>7</v>
      </c>
      <c r="C26" s="58" t="s">
        <v>23</v>
      </c>
      <c r="D26" s="128">
        <v>180</v>
      </c>
      <c r="E26" s="129">
        <v>180</v>
      </c>
      <c r="F26" s="129">
        <v>180</v>
      </c>
      <c r="G26" s="129">
        <v>180</v>
      </c>
      <c r="H26" s="128">
        <v>180</v>
      </c>
      <c r="I26" s="129">
        <v>180</v>
      </c>
      <c r="J26" s="129">
        <v>180</v>
      </c>
      <c r="K26" s="130">
        <v>180</v>
      </c>
      <c r="L26" s="128">
        <v>180</v>
      </c>
      <c r="M26" s="129">
        <v>180</v>
      </c>
      <c r="N26" s="129">
        <v>180</v>
      </c>
      <c r="O26" s="194">
        <v>180</v>
      </c>
      <c r="P26" s="128">
        <v>180</v>
      </c>
      <c r="Q26" s="129">
        <v>180</v>
      </c>
      <c r="R26" s="129">
        <v>180</v>
      </c>
      <c r="S26" s="194">
        <v>180</v>
      </c>
      <c r="T26" s="54"/>
      <c r="U26" s="54"/>
      <c r="V26" s="54"/>
      <c r="W26" s="54"/>
      <c r="X26" s="54"/>
      <c r="Y26" s="54"/>
      <c r="Z26" s="54"/>
      <c r="AA26" s="54"/>
    </row>
    <row r="27" spans="2:27" ht="13.5" thickBot="1">
      <c r="B27" s="67" t="s">
        <v>9</v>
      </c>
      <c r="C27" s="131" t="s">
        <v>24</v>
      </c>
      <c r="D27" s="132">
        <v>300</v>
      </c>
      <c r="E27" s="133">
        <v>300</v>
      </c>
      <c r="F27" s="133">
        <v>300</v>
      </c>
      <c r="G27" s="133">
        <v>300</v>
      </c>
      <c r="H27" s="132">
        <v>300</v>
      </c>
      <c r="I27" s="133">
        <v>300</v>
      </c>
      <c r="J27" s="133">
        <v>300</v>
      </c>
      <c r="K27" s="134">
        <v>300</v>
      </c>
      <c r="L27" s="132">
        <v>300</v>
      </c>
      <c r="M27" s="133">
        <v>300</v>
      </c>
      <c r="N27" s="133">
        <v>300</v>
      </c>
      <c r="O27" s="196">
        <v>300</v>
      </c>
      <c r="P27" s="132">
        <v>300</v>
      </c>
      <c r="Q27" s="133">
        <v>300</v>
      </c>
      <c r="R27" s="133">
        <v>300</v>
      </c>
      <c r="S27" s="196">
        <v>300</v>
      </c>
      <c r="T27" s="54"/>
      <c r="U27" s="54"/>
      <c r="V27" s="54"/>
      <c r="W27" s="54"/>
      <c r="X27" s="54"/>
      <c r="Y27" s="54"/>
      <c r="Z27" s="54"/>
      <c r="AA27" s="54"/>
    </row>
    <row r="28" spans="2:27" ht="26.25" thickBot="1">
      <c r="B28" s="65">
        <v>4</v>
      </c>
      <c r="C28" s="57" t="s">
        <v>95</v>
      </c>
      <c r="D28" s="139">
        <f aca="true" t="shared" si="0" ref="D28:S28">+D24*0.95+SUM(D25:D27)*0.9</f>
        <v>1040</v>
      </c>
      <c r="E28" s="140">
        <f t="shared" si="0"/>
        <v>1040</v>
      </c>
      <c r="F28" s="140">
        <f t="shared" si="0"/>
        <v>1040</v>
      </c>
      <c r="G28" s="140">
        <f t="shared" si="0"/>
        <v>1040</v>
      </c>
      <c r="H28" s="139">
        <f t="shared" si="0"/>
        <v>1116</v>
      </c>
      <c r="I28" s="140">
        <f t="shared" si="0"/>
        <v>1116</v>
      </c>
      <c r="J28" s="140">
        <f t="shared" si="0"/>
        <v>1116</v>
      </c>
      <c r="K28" s="140">
        <f t="shared" si="0"/>
        <v>1116</v>
      </c>
      <c r="L28" s="139">
        <f t="shared" si="0"/>
        <v>1116</v>
      </c>
      <c r="M28" s="140">
        <f t="shared" si="0"/>
        <v>1116</v>
      </c>
      <c r="N28" s="140">
        <f t="shared" si="0"/>
        <v>1116</v>
      </c>
      <c r="O28" s="140">
        <f t="shared" si="0"/>
        <v>1116</v>
      </c>
      <c r="P28" s="139">
        <f t="shared" si="0"/>
        <v>1116</v>
      </c>
      <c r="Q28" s="140">
        <f t="shared" si="0"/>
        <v>1116</v>
      </c>
      <c r="R28" s="140">
        <f t="shared" si="0"/>
        <v>1116</v>
      </c>
      <c r="S28" s="197">
        <f t="shared" si="0"/>
        <v>1116</v>
      </c>
      <c r="T28" s="54"/>
      <c r="U28" s="54"/>
      <c r="V28" s="54"/>
      <c r="W28" s="54"/>
      <c r="X28" s="54"/>
      <c r="Y28" s="54"/>
      <c r="Z28" s="54"/>
      <c r="AA28" s="54"/>
    </row>
    <row r="29" spans="2:27" ht="12.75">
      <c r="B29" s="135"/>
      <c r="C29" s="118" t="s">
        <v>75</v>
      </c>
      <c r="D29" s="136"/>
      <c r="E29" s="137"/>
      <c r="F29" s="137"/>
      <c r="G29" s="138"/>
      <c r="H29" s="136"/>
      <c r="I29" s="137"/>
      <c r="J29" s="137"/>
      <c r="K29" s="138"/>
      <c r="L29" s="136"/>
      <c r="M29" s="137"/>
      <c r="N29" s="137"/>
      <c r="O29" s="195"/>
      <c r="P29" s="136"/>
      <c r="Q29" s="137"/>
      <c r="R29" s="137"/>
      <c r="S29" s="195"/>
      <c r="T29" s="54"/>
      <c r="U29" s="54"/>
      <c r="V29" s="54"/>
      <c r="W29" s="54"/>
      <c r="X29" s="54"/>
      <c r="Y29" s="54"/>
      <c r="Z29" s="54"/>
      <c r="AA29" s="54"/>
    </row>
    <row r="30" spans="2:27" ht="12.75">
      <c r="B30" s="64" t="s">
        <v>5</v>
      </c>
      <c r="C30" s="73" t="s">
        <v>73</v>
      </c>
      <c r="D30" s="128">
        <v>1675</v>
      </c>
      <c r="E30" s="129">
        <v>2003</v>
      </c>
      <c r="F30" s="129">
        <v>1675</v>
      </c>
      <c r="G30" s="130">
        <v>2003</v>
      </c>
      <c r="H30" s="128">
        <v>1675</v>
      </c>
      <c r="I30" s="129">
        <v>2003</v>
      </c>
      <c r="J30" s="129">
        <v>1675</v>
      </c>
      <c r="K30" s="130">
        <v>2003</v>
      </c>
      <c r="L30" s="128">
        <v>1675</v>
      </c>
      <c r="M30" s="129">
        <v>2003</v>
      </c>
      <c r="N30" s="129">
        <v>1675</v>
      </c>
      <c r="O30" s="130">
        <v>2003</v>
      </c>
      <c r="P30" s="128">
        <v>1675</v>
      </c>
      <c r="Q30" s="129">
        <v>2003</v>
      </c>
      <c r="R30" s="129">
        <v>1675</v>
      </c>
      <c r="S30" s="194">
        <v>2003</v>
      </c>
      <c r="T30" s="54"/>
      <c r="U30" s="54"/>
      <c r="V30" s="54"/>
      <c r="W30" s="54"/>
      <c r="X30" s="54"/>
      <c r="Y30" s="54"/>
      <c r="Z30" s="54"/>
      <c r="AA30" s="54"/>
    </row>
    <row r="31" spans="2:27" ht="13.5" thickBot="1">
      <c r="B31" s="67" t="s">
        <v>6</v>
      </c>
      <c r="C31" s="119" t="s">
        <v>74</v>
      </c>
      <c r="D31" s="132">
        <v>0</v>
      </c>
      <c r="E31" s="133">
        <v>118</v>
      </c>
      <c r="F31" s="133">
        <v>0</v>
      </c>
      <c r="G31" s="133">
        <v>118</v>
      </c>
      <c r="H31" s="132">
        <v>0</v>
      </c>
      <c r="I31" s="133">
        <v>118</v>
      </c>
      <c r="J31" s="133">
        <v>0</v>
      </c>
      <c r="K31" s="134">
        <v>118</v>
      </c>
      <c r="L31" s="132">
        <v>0</v>
      </c>
      <c r="M31" s="133">
        <v>118</v>
      </c>
      <c r="N31" s="133">
        <v>0</v>
      </c>
      <c r="O31" s="196">
        <v>118</v>
      </c>
      <c r="P31" s="132">
        <v>0</v>
      </c>
      <c r="Q31" s="133">
        <v>118</v>
      </c>
      <c r="R31" s="133">
        <v>0</v>
      </c>
      <c r="S31" s="196">
        <v>118</v>
      </c>
      <c r="T31" s="54"/>
      <c r="U31" s="54"/>
      <c r="V31" s="54"/>
      <c r="W31" s="54"/>
      <c r="X31" s="54"/>
      <c r="Y31" s="54"/>
      <c r="Z31" s="54"/>
      <c r="AA31" s="54"/>
    </row>
    <row r="32" spans="2:27" ht="13.5" thickBot="1">
      <c r="B32" s="65">
        <v>5</v>
      </c>
      <c r="C32" s="120" t="s">
        <v>71</v>
      </c>
      <c r="D32" s="139">
        <f aca="true" t="shared" si="1" ref="D32:K32">SUM(D30:D31)</f>
        <v>1675</v>
      </c>
      <c r="E32" s="140">
        <f t="shared" si="1"/>
        <v>2121</v>
      </c>
      <c r="F32" s="140">
        <f t="shared" si="1"/>
        <v>1675</v>
      </c>
      <c r="G32" s="141">
        <f t="shared" si="1"/>
        <v>2121</v>
      </c>
      <c r="H32" s="139">
        <f t="shared" si="1"/>
        <v>1675</v>
      </c>
      <c r="I32" s="140">
        <f t="shared" si="1"/>
        <v>2121</v>
      </c>
      <c r="J32" s="140">
        <f t="shared" si="1"/>
        <v>1675</v>
      </c>
      <c r="K32" s="141">
        <f t="shared" si="1"/>
        <v>2121</v>
      </c>
      <c r="L32" s="139">
        <f aca="true" t="shared" si="2" ref="L32:S32">SUM(L30:L31)</f>
        <v>1675</v>
      </c>
      <c r="M32" s="140">
        <f t="shared" si="2"/>
        <v>2121</v>
      </c>
      <c r="N32" s="140">
        <f t="shared" si="2"/>
        <v>1675</v>
      </c>
      <c r="O32" s="197">
        <f t="shared" si="2"/>
        <v>2121</v>
      </c>
      <c r="P32" s="139">
        <f t="shared" si="2"/>
        <v>1675</v>
      </c>
      <c r="Q32" s="140">
        <f t="shared" si="2"/>
        <v>2121</v>
      </c>
      <c r="R32" s="140">
        <f t="shared" si="2"/>
        <v>1675</v>
      </c>
      <c r="S32" s="197">
        <f t="shared" si="2"/>
        <v>2121</v>
      </c>
      <c r="T32" s="54"/>
      <c r="U32" s="54"/>
      <c r="V32" s="54"/>
      <c r="W32" s="54"/>
      <c r="X32" s="54"/>
      <c r="Y32" s="54"/>
      <c r="Z32" s="54"/>
      <c r="AA32" s="54"/>
    </row>
    <row r="33" spans="2:32" ht="27" customHeight="1">
      <c r="B33" s="69">
        <v>6</v>
      </c>
      <c r="C33" s="72" t="s">
        <v>107</v>
      </c>
      <c r="D33" s="136"/>
      <c r="E33" s="137"/>
      <c r="F33" s="137"/>
      <c r="G33" s="138"/>
      <c r="H33" s="136"/>
      <c r="I33" s="137"/>
      <c r="J33" s="137"/>
      <c r="K33" s="138"/>
      <c r="L33" s="199"/>
      <c r="M33" s="200"/>
      <c r="N33" s="200"/>
      <c r="O33" s="201"/>
      <c r="P33" s="136"/>
      <c r="Q33" s="137"/>
      <c r="R33" s="156"/>
      <c r="S33" s="195"/>
      <c r="AD33" s="49"/>
      <c r="AE33" s="49"/>
      <c r="AF33" s="49"/>
    </row>
    <row r="34" spans="2:32" ht="15" customHeight="1" thickBot="1">
      <c r="B34" s="135" t="s">
        <v>5</v>
      </c>
      <c r="C34" s="215" t="s">
        <v>110</v>
      </c>
      <c r="D34" s="218">
        <v>0</v>
      </c>
      <c r="E34" s="219">
        <v>0</v>
      </c>
      <c r="F34" s="219">
        <v>0</v>
      </c>
      <c r="G34" s="220">
        <v>0</v>
      </c>
      <c r="H34" s="218">
        <v>0</v>
      </c>
      <c r="I34" s="219">
        <v>0</v>
      </c>
      <c r="J34" s="219">
        <v>0</v>
      </c>
      <c r="K34" s="220">
        <v>0</v>
      </c>
      <c r="L34" s="218">
        <v>384</v>
      </c>
      <c r="M34" s="219">
        <v>384</v>
      </c>
      <c r="N34" s="219">
        <v>384</v>
      </c>
      <c r="O34" s="220">
        <v>384</v>
      </c>
      <c r="P34" s="218">
        <v>384</v>
      </c>
      <c r="Q34" s="219">
        <v>384</v>
      </c>
      <c r="R34" s="219">
        <v>384</v>
      </c>
      <c r="S34" s="221">
        <v>384</v>
      </c>
      <c r="AD34" s="49"/>
      <c r="AE34" s="49"/>
      <c r="AF34" s="49"/>
    </row>
    <row r="35" spans="2:32" ht="15" customHeight="1" thickBot="1">
      <c r="B35" s="135"/>
      <c r="C35" s="217" t="s">
        <v>71</v>
      </c>
      <c r="D35" s="139">
        <v>0</v>
      </c>
      <c r="E35" s="140">
        <v>0</v>
      </c>
      <c r="F35" s="140">
        <v>0</v>
      </c>
      <c r="G35" s="141">
        <v>0</v>
      </c>
      <c r="H35" s="139">
        <v>0</v>
      </c>
      <c r="I35" s="140">
        <v>0</v>
      </c>
      <c r="J35" s="140">
        <v>0</v>
      </c>
      <c r="K35" s="141">
        <v>0</v>
      </c>
      <c r="L35" s="139">
        <v>384</v>
      </c>
      <c r="M35" s="140">
        <v>384</v>
      </c>
      <c r="N35" s="140">
        <v>384</v>
      </c>
      <c r="O35" s="141">
        <v>384</v>
      </c>
      <c r="P35" s="139">
        <v>384</v>
      </c>
      <c r="Q35" s="140">
        <v>384</v>
      </c>
      <c r="R35" s="140">
        <v>384</v>
      </c>
      <c r="S35" s="141">
        <v>384</v>
      </c>
      <c r="AD35" s="49"/>
      <c r="AE35" s="49"/>
      <c r="AF35" s="49"/>
    </row>
    <row r="36" spans="2:27" ht="12.75">
      <c r="B36" s="135">
        <v>7</v>
      </c>
      <c r="C36" s="118" t="s">
        <v>26</v>
      </c>
      <c r="D36" s="136"/>
      <c r="E36" s="137"/>
      <c r="F36" s="137"/>
      <c r="G36" s="138"/>
      <c r="H36" s="136"/>
      <c r="I36" s="137"/>
      <c r="J36" s="137"/>
      <c r="K36" s="138"/>
      <c r="L36" s="136"/>
      <c r="M36" s="137"/>
      <c r="N36" s="137"/>
      <c r="O36" s="195"/>
      <c r="P36" s="136"/>
      <c r="Q36" s="137"/>
      <c r="R36" s="137"/>
      <c r="S36" s="195"/>
      <c r="T36" s="54"/>
      <c r="U36" s="54"/>
      <c r="V36" s="54"/>
      <c r="W36" s="54"/>
      <c r="X36" s="54"/>
      <c r="Y36" s="54"/>
      <c r="Z36" s="54"/>
      <c r="AA36" s="54"/>
    </row>
    <row r="37" spans="2:27" ht="12.75">
      <c r="B37" s="64" t="s">
        <v>5</v>
      </c>
      <c r="C37" s="78" t="s">
        <v>27</v>
      </c>
      <c r="D37" s="128">
        <v>92</v>
      </c>
      <c r="E37" s="129">
        <v>92</v>
      </c>
      <c r="F37" s="129">
        <v>92</v>
      </c>
      <c r="G37" s="130">
        <v>92</v>
      </c>
      <c r="H37" s="128">
        <v>92</v>
      </c>
      <c r="I37" s="129">
        <v>92</v>
      </c>
      <c r="J37" s="129">
        <v>92</v>
      </c>
      <c r="K37" s="130">
        <v>92</v>
      </c>
      <c r="L37" s="128">
        <v>92</v>
      </c>
      <c r="M37" s="129">
        <v>92</v>
      </c>
      <c r="N37" s="129">
        <v>92</v>
      </c>
      <c r="O37" s="194">
        <v>92</v>
      </c>
      <c r="P37" s="128">
        <v>92</v>
      </c>
      <c r="Q37" s="129">
        <v>92</v>
      </c>
      <c r="R37" s="129">
        <v>92</v>
      </c>
      <c r="S37" s="194">
        <v>92</v>
      </c>
      <c r="T37" s="54"/>
      <c r="U37" s="54"/>
      <c r="V37" s="54"/>
      <c r="W37" s="54"/>
      <c r="X37" s="54"/>
      <c r="Y37" s="54"/>
      <c r="Z37" s="54"/>
      <c r="AA37" s="54"/>
    </row>
    <row r="38" spans="2:27" ht="15" customHeight="1">
      <c r="B38" s="64" t="s">
        <v>6</v>
      </c>
      <c r="C38" s="78" t="s">
        <v>115</v>
      </c>
      <c r="D38" s="128">
        <v>0</v>
      </c>
      <c r="E38" s="129">
        <v>0</v>
      </c>
      <c r="F38" s="129">
        <v>0</v>
      </c>
      <c r="G38" s="130">
        <v>0</v>
      </c>
      <c r="H38" s="128">
        <v>0</v>
      </c>
      <c r="I38" s="129">
        <v>0</v>
      </c>
      <c r="J38" s="129">
        <v>0</v>
      </c>
      <c r="K38" s="130">
        <v>0</v>
      </c>
      <c r="L38" s="128">
        <v>-110</v>
      </c>
      <c r="M38" s="129">
        <v>-110</v>
      </c>
      <c r="N38" s="129">
        <v>-110</v>
      </c>
      <c r="O38" s="130">
        <v>-110</v>
      </c>
      <c r="P38" s="128">
        <v>-110</v>
      </c>
      <c r="Q38" s="129">
        <v>-110</v>
      </c>
      <c r="R38" s="129">
        <v>-110</v>
      </c>
      <c r="S38" s="130">
        <v>-110</v>
      </c>
      <c r="T38" s="54"/>
      <c r="U38" s="54"/>
      <c r="V38" s="54"/>
      <c r="W38" s="54"/>
      <c r="X38" s="54"/>
      <c r="Y38" s="54"/>
      <c r="Z38" s="54"/>
      <c r="AA38" s="54"/>
    </row>
    <row r="39" spans="2:27" ht="12.75">
      <c r="B39" s="64" t="s">
        <v>7</v>
      </c>
      <c r="C39" s="78" t="s">
        <v>113</v>
      </c>
      <c r="D39" s="128">
        <v>0</v>
      </c>
      <c r="E39" s="129">
        <v>0</v>
      </c>
      <c r="F39" s="129">
        <v>0</v>
      </c>
      <c r="G39" s="130">
        <v>0</v>
      </c>
      <c r="H39" s="128">
        <v>0</v>
      </c>
      <c r="I39" s="129">
        <v>0</v>
      </c>
      <c r="J39" s="129">
        <v>0</v>
      </c>
      <c r="K39" s="130">
        <v>0</v>
      </c>
      <c r="L39" s="128">
        <v>-17</v>
      </c>
      <c r="M39" s="129">
        <v>-17</v>
      </c>
      <c r="N39" s="129">
        <v>-17</v>
      </c>
      <c r="O39" s="194">
        <v>-13</v>
      </c>
      <c r="P39" s="128">
        <v>-17</v>
      </c>
      <c r="Q39" s="129">
        <v>-17</v>
      </c>
      <c r="R39" s="129">
        <v>-17</v>
      </c>
      <c r="S39" s="194">
        <v>-13</v>
      </c>
      <c r="T39" s="54"/>
      <c r="U39" s="54"/>
      <c r="V39" s="54"/>
      <c r="W39" s="54"/>
      <c r="X39" s="54"/>
      <c r="Y39" s="54"/>
      <c r="Z39" s="54"/>
      <c r="AA39" s="54"/>
    </row>
    <row r="40" spans="2:27" ht="12.75">
      <c r="B40" s="64" t="s">
        <v>9</v>
      </c>
      <c r="C40" s="78" t="s">
        <v>114</v>
      </c>
      <c r="D40" s="128">
        <v>0</v>
      </c>
      <c r="E40" s="129">
        <v>0</v>
      </c>
      <c r="F40" s="129">
        <v>0</v>
      </c>
      <c r="G40" s="130">
        <v>0</v>
      </c>
      <c r="H40" s="128">
        <v>0</v>
      </c>
      <c r="I40" s="129">
        <v>0</v>
      </c>
      <c r="J40" s="129">
        <v>0</v>
      </c>
      <c r="K40" s="130">
        <v>0</v>
      </c>
      <c r="L40" s="128">
        <v>-38</v>
      </c>
      <c r="M40" s="129">
        <v>-38</v>
      </c>
      <c r="N40" s="129">
        <v>-38</v>
      </c>
      <c r="O40" s="194">
        <v>-26</v>
      </c>
      <c r="P40" s="128">
        <v>-38</v>
      </c>
      <c r="Q40" s="129">
        <v>-38</v>
      </c>
      <c r="R40" s="129">
        <v>-38</v>
      </c>
      <c r="S40" s="194">
        <v>-26</v>
      </c>
      <c r="T40" s="54"/>
      <c r="U40" s="54"/>
      <c r="V40" s="54"/>
      <c r="W40" s="54"/>
      <c r="X40" s="54"/>
      <c r="Y40" s="54"/>
      <c r="Z40" s="54"/>
      <c r="AA40" s="54"/>
    </row>
    <row r="41" spans="2:27" ht="14.25" customHeight="1" thickBot="1">
      <c r="B41" s="260" t="s">
        <v>11</v>
      </c>
      <c r="C41" s="261" t="s">
        <v>116</v>
      </c>
      <c r="D41" s="218">
        <v>0</v>
      </c>
      <c r="E41" s="219">
        <v>0</v>
      </c>
      <c r="F41" s="219">
        <v>0</v>
      </c>
      <c r="G41" s="220">
        <v>0</v>
      </c>
      <c r="H41" s="218">
        <v>0</v>
      </c>
      <c r="I41" s="219">
        <v>0</v>
      </c>
      <c r="J41" s="219">
        <v>0</v>
      </c>
      <c r="K41" s="220">
        <v>0</v>
      </c>
      <c r="L41" s="218">
        <v>0</v>
      </c>
      <c r="M41" s="219">
        <v>56</v>
      </c>
      <c r="N41" s="219">
        <v>0</v>
      </c>
      <c r="O41" s="221">
        <v>0</v>
      </c>
      <c r="P41" s="218">
        <v>0</v>
      </c>
      <c r="Q41" s="219">
        <v>56</v>
      </c>
      <c r="R41" s="219">
        <v>0</v>
      </c>
      <c r="S41" s="221">
        <v>0</v>
      </c>
      <c r="T41" s="54"/>
      <c r="U41" s="54"/>
      <c r="V41" s="54"/>
      <c r="W41" s="54"/>
      <c r="X41" s="54"/>
      <c r="Y41" s="54"/>
      <c r="Z41" s="54"/>
      <c r="AA41" s="54"/>
    </row>
    <row r="42" spans="2:27" ht="13.5" thickBot="1">
      <c r="B42" s="65"/>
      <c r="C42" s="217" t="s">
        <v>71</v>
      </c>
      <c r="D42" s="139">
        <f aca="true" t="shared" si="3" ref="D42:S42">+SUM(D37:D41)</f>
        <v>92</v>
      </c>
      <c r="E42" s="140">
        <f t="shared" si="3"/>
        <v>92</v>
      </c>
      <c r="F42" s="140">
        <f t="shared" si="3"/>
        <v>92</v>
      </c>
      <c r="G42" s="141">
        <f t="shared" si="3"/>
        <v>92</v>
      </c>
      <c r="H42" s="139">
        <f t="shared" si="3"/>
        <v>92</v>
      </c>
      <c r="I42" s="140">
        <f t="shared" si="3"/>
        <v>92</v>
      </c>
      <c r="J42" s="140">
        <f t="shared" si="3"/>
        <v>92</v>
      </c>
      <c r="K42" s="141">
        <f t="shared" si="3"/>
        <v>92</v>
      </c>
      <c r="L42" s="139">
        <f t="shared" si="3"/>
        <v>-73</v>
      </c>
      <c r="M42" s="140">
        <f t="shared" si="3"/>
        <v>-17</v>
      </c>
      <c r="N42" s="140">
        <f t="shared" si="3"/>
        <v>-73</v>
      </c>
      <c r="O42" s="141">
        <f t="shared" si="3"/>
        <v>-57</v>
      </c>
      <c r="P42" s="139">
        <f t="shared" si="3"/>
        <v>-73</v>
      </c>
      <c r="Q42" s="140">
        <f t="shared" si="3"/>
        <v>-17</v>
      </c>
      <c r="R42" s="140">
        <f t="shared" si="3"/>
        <v>-73</v>
      </c>
      <c r="S42" s="141">
        <f t="shared" si="3"/>
        <v>-57</v>
      </c>
      <c r="T42" s="54"/>
      <c r="U42" s="54"/>
      <c r="V42" s="54"/>
      <c r="W42" s="54"/>
      <c r="X42" s="54"/>
      <c r="Y42" s="54"/>
      <c r="Z42" s="54"/>
      <c r="AA42" s="54"/>
    </row>
    <row r="43" spans="2:27" ht="13.5" thickBot="1">
      <c r="B43" s="142">
        <v>8</v>
      </c>
      <c r="C43" s="57" t="s">
        <v>108</v>
      </c>
      <c r="D43" s="139">
        <f aca="true" t="shared" si="4" ref="D43:S43">+D28+D32+D42+D35</f>
        <v>2807</v>
      </c>
      <c r="E43" s="140">
        <f t="shared" si="4"/>
        <v>3253</v>
      </c>
      <c r="F43" s="140">
        <f t="shared" si="4"/>
        <v>2807</v>
      </c>
      <c r="G43" s="141">
        <f t="shared" si="4"/>
        <v>3253</v>
      </c>
      <c r="H43" s="139">
        <f t="shared" si="4"/>
        <v>2883</v>
      </c>
      <c r="I43" s="140">
        <f t="shared" si="4"/>
        <v>3329</v>
      </c>
      <c r="J43" s="140">
        <f t="shared" si="4"/>
        <v>2883</v>
      </c>
      <c r="K43" s="141">
        <f t="shared" si="4"/>
        <v>3329</v>
      </c>
      <c r="L43" s="139">
        <f t="shared" si="4"/>
        <v>3102</v>
      </c>
      <c r="M43" s="140">
        <f t="shared" si="4"/>
        <v>3604</v>
      </c>
      <c r="N43" s="140">
        <f t="shared" si="4"/>
        <v>3102</v>
      </c>
      <c r="O43" s="197">
        <f t="shared" si="4"/>
        <v>3564</v>
      </c>
      <c r="P43" s="139">
        <f t="shared" si="4"/>
        <v>3102</v>
      </c>
      <c r="Q43" s="140">
        <f t="shared" si="4"/>
        <v>3604</v>
      </c>
      <c r="R43" s="140">
        <f t="shared" si="4"/>
        <v>3102</v>
      </c>
      <c r="S43" s="197">
        <f t="shared" si="4"/>
        <v>3564</v>
      </c>
      <c r="T43" s="54"/>
      <c r="U43" s="54"/>
      <c r="V43" s="54"/>
      <c r="W43" s="54"/>
      <c r="X43" s="54"/>
      <c r="Y43" s="54"/>
      <c r="Z43" s="54"/>
      <c r="AA43" s="54"/>
    </row>
    <row r="44" spans="2:27" ht="16.5" thickBot="1">
      <c r="B44" s="149">
        <v>9</v>
      </c>
      <c r="C44" s="96" t="s">
        <v>109</v>
      </c>
      <c r="D44" s="211">
        <f aca="true" t="shared" si="5" ref="D44:S44">+D43-D22</f>
        <v>1357</v>
      </c>
      <c r="E44" s="214">
        <f t="shared" si="5"/>
        <v>-47</v>
      </c>
      <c r="F44" s="212">
        <f t="shared" si="5"/>
        <v>407</v>
      </c>
      <c r="G44" s="237">
        <f t="shared" si="5"/>
        <v>-47</v>
      </c>
      <c r="H44" s="211">
        <f t="shared" si="5"/>
        <v>1433</v>
      </c>
      <c r="I44" s="214">
        <f t="shared" si="5"/>
        <v>-171</v>
      </c>
      <c r="J44" s="212">
        <f t="shared" si="5"/>
        <v>183</v>
      </c>
      <c r="K44" s="237">
        <f t="shared" si="5"/>
        <v>-71</v>
      </c>
      <c r="L44" s="211">
        <f t="shared" si="5"/>
        <v>1502</v>
      </c>
      <c r="M44" s="212">
        <f t="shared" si="5"/>
        <v>104</v>
      </c>
      <c r="N44" s="212">
        <f t="shared" si="5"/>
        <v>2</v>
      </c>
      <c r="O44" s="213">
        <f t="shared" si="5"/>
        <v>64</v>
      </c>
      <c r="P44" s="211">
        <f t="shared" si="5"/>
        <v>1552</v>
      </c>
      <c r="Q44" s="212">
        <f t="shared" si="5"/>
        <v>204</v>
      </c>
      <c r="R44" s="212">
        <f t="shared" si="5"/>
        <v>-98</v>
      </c>
      <c r="S44" s="225">
        <f t="shared" si="5"/>
        <v>164</v>
      </c>
      <c r="T44" s="54"/>
      <c r="U44" s="54"/>
      <c r="V44" s="54"/>
      <c r="W44" s="54"/>
      <c r="X44" s="54"/>
      <c r="Y44" s="54"/>
      <c r="Z44" s="54"/>
      <c r="AA44" s="54"/>
    </row>
    <row r="45" spans="2:27" ht="12.75">
      <c r="B45" s="54"/>
      <c r="C45" s="54" t="s">
        <v>28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2:27" ht="12.75">
      <c r="B46" s="54">
        <v>1</v>
      </c>
      <c r="C46" s="55" t="s">
        <v>84</v>
      </c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2:27" ht="12.75">
      <c r="B47" s="5" t="s">
        <v>67</v>
      </c>
      <c r="C47" s="56" t="s">
        <v>92</v>
      </c>
      <c r="D47" s="5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2:27" ht="12.75">
      <c r="B48" s="5" t="s">
        <v>94</v>
      </c>
      <c r="C48" s="56" t="s">
        <v>93</v>
      </c>
      <c r="D48" s="5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2:27" ht="12.75">
      <c r="B49" s="5">
        <v>4</v>
      </c>
      <c r="C49" s="56" t="s">
        <v>122</v>
      </c>
      <c r="D49" s="5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2:27" ht="12.75">
      <c r="B50" s="54">
        <v>5</v>
      </c>
      <c r="C50" s="56" t="s">
        <v>121</v>
      </c>
      <c r="D50" s="56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2:27" ht="0.75" customHeight="1">
      <c r="B51" s="54"/>
      <c r="C51" s="56"/>
      <c r="D51" s="56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3:6" ht="18">
      <c r="C52" s="79" t="s">
        <v>91</v>
      </c>
      <c r="F52" s="79"/>
    </row>
    <row r="53" spans="3:4" ht="15">
      <c r="C53" s="80" t="s">
        <v>89</v>
      </c>
      <c r="D53" s="80"/>
    </row>
    <row r="54" ht="6.75" customHeight="1"/>
    <row r="55" spans="3:26" ht="12.75">
      <c r="C55" s="1" t="s">
        <v>98</v>
      </c>
      <c r="D55" s="1"/>
      <c r="Q55" s="91" t="s">
        <v>119</v>
      </c>
      <c r="Z55" s="91"/>
    </row>
    <row r="56" ht="12" customHeight="1" thickBot="1">
      <c r="O56" s="1" t="s">
        <v>76</v>
      </c>
    </row>
    <row r="57" spans="2:19" ht="13.5" customHeight="1" thickBot="1">
      <c r="B57" s="2" t="s">
        <v>1</v>
      </c>
      <c r="C57" s="3" t="s">
        <v>2</v>
      </c>
      <c r="D57" s="280" t="s">
        <v>99</v>
      </c>
      <c r="E57" s="281"/>
      <c r="F57" s="281"/>
      <c r="G57" s="281"/>
      <c r="H57" s="281"/>
      <c r="I57" s="281"/>
      <c r="J57" s="281"/>
      <c r="K57" s="282"/>
      <c r="L57" s="300" t="s">
        <v>100</v>
      </c>
      <c r="M57" s="281"/>
      <c r="N57" s="281"/>
      <c r="O57" s="281"/>
      <c r="P57" s="281"/>
      <c r="Q57" s="281"/>
      <c r="R57" s="281"/>
      <c r="S57" s="282"/>
    </row>
    <row r="58" spans="2:19" ht="13.5" customHeight="1" thickBot="1">
      <c r="B58" s="50" t="s">
        <v>3</v>
      </c>
      <c r="C58" s="51"/>
      <c r="D58" s="283" t="s">
        <v>70</v>
      </c>
      <c r="E58" s="281"/>
      <c r="F58" s="281"/>
      <c r="G58" s="282"/>
      <c r="H58" s="283" t="s">
        <v>69</v>
      </c>
      <c r="I58" s="281"/>
      <c r="J58" s="281"/>
      <c r="K58" s="282"/>
      <c r="L58" s="283" t="s">
        <v>68</v>
      </c>
      <c r="M58" s="281"/>
      <c r="N58" s="281"/>
      <c r="O58" s="282"/>
      <c r="P58" s="283" t="s">
        <v>69</v>
      </c>
      <c r="Q58" s="281"/>
      <c r="R58" s="281"/>
      <c r="S58" s="282"/>
    </row>
    <row r="59" spans="2:19" s="47" customFormat="1" ht="23.25" thickBot="1">
      <c r="B59" s="46"/>
      <c r="C59" s="154"/>
      <c r="D59" s="143" t="s">
        <v>85</v>
      </c>
      <c r="E59" s="160" t="s">
        <v>86</v>
      </c>
      <c r="F59" s="160" t="s">
        <v>87</v>
      </c>
      <c r="G59" s="161" t="s">
        <v>88</v>
      </c>
      <c r="H59" s="143" t="s">
        <v>85</v>
      </c>
      <c r="I59" s="160" t="s">
        <v>86</v>
      </c>
      <c r="J59" s="160" t="s">
        <v>87</v>
      </c>
      <c r="K59" s="161" t="s">
        <v>88</v>
      </c>
      <c r="L59" s="143" t="s">
        <v>85</v>
      </c>
      <c r="M59" s="160" t="s">
        <v>86</v>
      </c>
      <c r="N59" s="160" t="s">
        <v>87</v>
      </c>
      <c r="O59" s="161" t="s">
        <v>88</v>
      </c>
      <c r="P59" s="143" t="s">
        <v>85</v>
      </c>
      <c r="Q59" s="160" t="s">
        <v>86</v>
      </c>
      <c r="R59" s="160" t="s">
        <v>87</v>
      </c>
      <c r="S59" s="161" t="s">
        <v>88</v>
      </c>
    </row>
    <row r="60" spans="2:19" ht="12.75">
      <c r="B60" s="71">
        <v>1</v>
      </c>
      <c r="C60" s="52" t="s">
        <v>4</v>
      </c>
      <c r="D60" s="292"/>
      <c r="E60" s="126"/>
      <c r="F60" s="295"/>
      <c r="G60" s="127"/>
      <c r="H60" s="292"/>
      <c r="I60" s="126"/>
      <c r="J60" s="295"/>
      <c r="K60" s="127"/>
      <c r="L60" s="292"/>
      <c r="M60" s="126"/>
      <c r="N60" s="295"/>
      <c r="O60" s="127"/>
      <c r="P60" s="292"/>
      <c r="Q60" s="126"/>
      <c r="R60" s="295"/>
      <c r="S60" s="127"/>
    </row>
    <row r="61" spans="2:19" ht="16.5" customHeight="1">
      <c r="B61" s="53" t="s">
        <v>5</v>
      </c>
      <c r="C61" s="205" t="s">
        <v>8</v>
      </c>
      <c r="D61" s="293"/>
      <c r="E61" s="206">
        <v>2931</v>
      </c>
      <c r="F61" s="296"/>
      <c r="G61" s="130">
        <v>2714</v>
      </c>
      <c r="H61" s="293"/>
      <c r="I61" s="206">
        <v>2751</v>
      </c>
      <c r="J61" s="296"/>
      <c r="K61" s="130">
        <v>2452</v>
      </c>
      <c r="L61" s="293"/>
      <c r="M61" s="206">
        <v>2516</v>
      </c>
      <c r="N61" s="296"/>
      <c r="O61" s="130">
        <v>2319</v>
      </c>
      <c r="P61" s="293"/>
      <c r="Q61" s="206">
        <v>2370</v>
      </c>
      <c r="R61" s="296"/>
      <c r="S61" s="130">
        <v>2449</v>
      </c>
    </row>
    <row r="62" spans="2:19" ht="16.5" customHeight="1">
      <c r="B62" s="53" t="s">
        <v>6</v>
      </c>
      <c r="C62" s="205" t="s">
        <v>10</v>
      </c>
      <c r="D62" s="293"/>
      <c r="E62" s="206">
        <v>2960</v>
      </c>
      <c r="F62" s="296"/>
      <c r="G62" s="130">
        <v>2785</v>
      </c>
      <c r="H62" s="293"/>
      <c r="I62" s="206">
        <v>2792</v>
      </c>
      <c r="J62" s="296"/>
      <c r="K62" s="130">
        <v>2536</v>
      </c>
      <c r="L62" s="293"/>
      <c r="M62" s="206">
        <v>2605</v>
      </c>
      <c r="N62" s="296"/>
      <c r="O62" s="130">
        <v>2479</v>
      </c>
      <c r="P62" s="293"/>
      <c r="Q62" s="206">
        <v>2374</v>
      </c>
      <c r="R62" s="296"/>
      <c r="S62" s="130">
        <v>2511</v>
      </c>
    </row>
    <row r="63" spans="2:19" ht="16.5" customHeight="1">
      <c r="B63" s="53" t="s">
        <v>7</v>
      </c>
      <c r="C63" s="205" t="s">
        <v>12</v>
      </c>
      <c r="D63" s="293"/>
      <c r="E63" s="206">
        <v>3000</v>
      </c>
      <c r="F63" s="296"/>
      <c r="G63" s="130">
        <v>2768</v>
      </c>
      <c r="H63" s="293"/>
      <c r="I63" s="206">
        <v>3434</v>
      </c>
      <c r="J63" s="296"/>
      <c r="K63" s="130">
        <v>2660</v>
      </c>
      <c r="L63" s="293"/>
      <c r="M63" s="206">
        <v>2664</v>
      </c>
      <c r="N63" s="296"/>
      <c r="O63" s="130">
        <v>2527</v>
      </c>
      <c r="P63" s="293"/>
      <c r="Q63" s="206">
        <v>2429</v>
      </c>
      <c r="R63" s="296"/>
      <c r="S63" s="130">
        <v>2596</v>
      </c>
    </row>
    <row r="64" spans="2:19" ht="16.5" customHeight="1">
      <c r="B64" s="53" t="s">
        <v>9</v>
      </c>
      <c r="C64" s="205" t="s">
        <v>14</v>
      </c>
      <c r="D64" s="293"/>
      <c r="E64" s="206">
        <v>3213</v>
      </c>
      <c r="F64" s="296"/>
      <c r="G64" s="130">
        <v>3016</v>
      </c>
      <c r="H64" s="293"/>
      <c r="I64" s="206">
        <v>2927</v>
      </c>
      <c r="J64" s="296"/>
      <c r="K64" s="130">
        <v>2683</v>
      </c>
      <c r="L64" s="293"/>
      <c r="M64" s="206">
        <v>2713</v>
      </c>
      <c r="N64" s="296"/>
      <c r="O64" s="130">
        <v>2757</v>
      </c>
      <c r="P64" s="293"/>
      <c r="Q64" s="206">
        <v>2607</v>
      </c>
      <c r="R64" s="296"/>
      <c r="S64" s="130">
        <v>2947</v>
      </c>
    </row>
    <row r="65" spans="2:19" ht="16.5" customHeight="1">
      <c r="B65" s="53" t="s">
        <v>11</v>
      </c>
      <c r="C65" s="205" t="s">
        <v>16</v>
      </c>
      <c r="D65" s="293"/>
      <c r="E65" s="206">
        <v>3138</v>
      </c>
      <c r="F65" s="296"/>
      <c r="G65" s="130">
        <v>2939</v>
      </c>
      <c r="H65" s="293"/>
      <c r="I65" s="206">
        <v>3017</v>
      </c>
      <c r="J65" s="296"/>
      <c r="K65" s="130">
        <v>2738</v>
      </c>
      <c r="L65" s="293"/>
      <c r="M65" s="206">
        <v>2813</v>
      </c>
      <c r="N65" s="296"/>
      <c r="O65" s="130">
        <v>2871</v>
      </c>
      <c r="P65" s="293"/>
      <c r="Q65" s="206">
        <v>2584</v>
      </c>
      <c r="R65" s="296"/>
      <c r="S65" s="130">
        <v>2898</v>
      </c>
    </row>
    <row r="66" spans="2:19" ht="16.5" customHeight="1">
      <c r="B66" s="53" t="s">
        <v>13</v>
      </c>
      <c r="C66" s="205" t="s">
        <v>18</v>
      </c>
      <c r="D66" s="293"/>
      <c r="E66" s="206">
        <v>3086</v>
      </c>
      <c r="F66" s="296"/>
      <c r="G66" s="130">
        <v>2973</v>
      </c>
      <c r="H66" s="293"/>
      <c r="I66" s="206">
        <v>2804</v>
      </c>
      <c r="J66" s="296"/>
      <c r="K66" s="130">
        <v>3075</v>
      </c>
      <c r="L66" s="293"/>
      <c r="M66" s="206">
        <v>2837</v>
      </c>
      <c r="N66" s="296"/>
      <c r="O66" s="130">
        <v>2932</v>
      </c>
      <c r="P66" s="293"/>
      <c r="Q66" s="206">
        <v>2659</v>
      </c>
      <c r="R66" s="296"/>
      <c r="S66" s="130">
        <v>2946</v>
      </c>
    </row>
    <row r="67" spans="2:19" ht="16.5" customHeight="1">
      <c r="B67" s="53" t="s">
        <v>15</v>
      </c>
      <c r="C67" s="205" t="s">
        <v>20</v>
      </c>
      <c r="D67" s="293"/>
      <c r="E67" s="206">
        <v>3021</v>
      </c>
      <c r="F67" s="296"/>
      <c r="G67" s="130">
        <v>2880</v>
      </c>
      <c r="H67" s="293"/>
      <c r="I67" s="206">
        <v>2961</v>
      </c>
      <c r="J67" s="296"/>
      <c r="K67" s="130">
        <v>2918</v>
      </c>
      <c r="L67" s="293"/>
      <c r="M67" s="206">
        <v>2879</v>
      </c>
      <c r="N67" s="296"/>
      <c r="O67" s="130">
        <v>2827</v>
      </c>
      <c r="P67" s="293"/>
      <c r="Q67" s="206">
        <v>2911</v>
      </c>
      <c r="R67" s="296"/>
      <c r="S67" s="130">
        <v>3107</v>
      </c>
    </row>
    <row r="68" spans="2:19" ht="16.5" customHeight="1">
      <c r="B68" s="53" t="s">
        <v>17</v>
      </c>
      <c r="C68" s="205" t="s">
        <v>63</v>
      </c>
      <c r="D68" s="294"/>
      <c r="E68" s="206">
        <v>3395</v>
      </c>
      <c r="F68" s="297"/>
      <c r="G68" s="130">
        <v>3135</v>
      </c>
      <c r="H68" s="294"/>
      <c r="I68" s="206">
        <v>3126</v>
      </c>
      <c r="J68" s="297"/>
      <c r="K68" s="130">
        <v>2862</v>
      </c>
      <c r="L68" s="294"/>
      <c r="M68" s="206">
        <v>2754</v>
      </c>
      <c r="N68" s="297"/>
      <c r="O68" s="130">
        <v>3012</v>
      </c>
      <c r="P68" s="294"/>
      <c r="Q68" s="206">
        <v>2655</v>
      </c>
      <c r="R68" s="297"/>
      <c r="S68" s="130">
        <v>3158</v>
      </c>
    </row>
    <row r="69" spans="2:19" ht="16.5" customHeight="1" thickBot="1">
      <c r="B69" s="53" t="s">
        <v>19</v>
      </c>
      <c r="C69" s="205" t="s">
        <v>64</v>
      </c>
      <c r="D69" s="207">
        <v>1467</v>
      </c>
      <c r="E69" s="208">
        <v>3105</v>
      </c>
      <c r="F69" s="209">
        <v>2542</v>
      </c>
      <c r="G69" s="210">
        <v>2873</v>
      </c>
      <c r="H69" s="207">
        <v>1487</v>
      </c>
      <c r="I69" s="208">
        <v>3037</v>
      </c>
      <c r="J69" s="209">
        <v>2644</v>
      </c>
      <c r="K69" s="210">
        <v>2858</v>
      </c>
      <c r="L69" s="207">
        <v>1560</v>
      </c>
      <c r="M69" s="208">
        <v>2802</v>
      </c>
      <c r="N69" s="209">
        <v>2552</v>
      </c>
      <c r="O69" s="210">
        <v>2878</v>
      </c>
      <c r="P69" s="207">
        <v>1778</v>
      </c>
      <c r="Q69" s="208">
        <v>2698</v>
      </c>
      <c r="R69" s="209">
        <v>2623</v>
      </c>
      <c r="S69" s="210">
        <v>2999</v>
      </c>
    </row>
    <row r="70" spans="2:19" ht="28.5" customHeight="1" thickBot="1">
      <c r="B70" s="70">
        <v>2</v>
      </c>
      <c r="C70" s="125" t="s">
        <v>96</v>
      </c>
      <c r="D70" s="207"/>
      <c r="E70" s="208">
        <v>3102</v>
      </c>
      <c r="F70" s="209"/>
      <c r="G70" s="210">
        <v>2844</v>
      </c>
      <c r="H70" s="207"/>
      <c r="I70" s="208">
        <v>3063</v>
      </c>
      <c r="J70" s="209"/>
      <c r="K70" s="210">
        <v>2850</v>
      </c>
      <c r="L70" s="207"/>
      <c r="M70" s="208">
        <v>2799</v>
      </c>
      <c r="N70" s="209"/>
      <c r="O70" s="210">
        <v>2883</v>
      </c>
      <c r="P70" s="207"/>
      <c r="Q70" s="208">
        <v>2693</v>
      </c>
      <c r="R70" s="209"/>
      <c r="S70" s="210">
        <v>2989</v>
      </c>
    </row>
    <row r="71" spans="2:19" s="94" customFormat="1" ht="16.5" customHeight="1" thickBot="1">
      <c r="B71" s="230">
        <v>3</v>
      </c>
      <c r="C71" s="231" t="s">
        <v>21</v>
      </c>
      <c r="D71" s="232">
        <v>1550</v>
      </c>
      <c r="E71" s="233">
        <v>3300</v>
      </c>
      <c r="F71" s="234">
        <v>2600</v>
      </c>
      <c r="G71" s="235">
        <v>3300</v>
      </c>
      <c r="H71" s="232">
        <v>1550</v>
      </c>
      <c r="I71" s="233">
        <v>3100</v>
      </c>
      <c r="J71" s="234">
        <v>2700</v>
      </c>
      <c r="K71" s="235">
        <v>2850</v>
      </c>
      <c r="L71" s="232">
        <v>1600</v>
      </c>
      <c r="M71" s="233">
        <v>2800</v>
      </c>
      <c r="N71" s="234">
        <v>2600</v>
      </c>
      <c r="O71" s="235">
        <v>2900</v>
      </c>
      <c r="P71" s="232">
        <v>1850</v>
      </c>
      <c r="Q71" s="233">
        <v>2700</v>
      </c>
      <c r="R71" s="234">
        <v>2700</v>
      </c>
      <c r="S71" s="235">
        <v>3500</v>
      </c>
    </row>
    <row r="72" spans="2:32" ht="16.5" customHeight="1">
      <c r="B72" s="63"/>
      <c r="C72" s="72" t="s">
        <v>72</v>
      </c>
      <c r="D72" s="155"/>
      <c r="E72" s="156"/>
      <c r="F72" s="156"/>
      <c r="G72" s="157"/>
      <c r="H72" s="155"/>
      <c r="I72" s="156"/>
      <c r="J72" s="156"/>
      <c r="K72" s="157"/>
      <c r="L72" s="155"/>
      <c r="M72" s="156"/>
      <c r="N72" s="156"/>
      <c r="O72" s="157"/>
      <c r="P72" s="155"/>
      <c r="Q72" s="156"/>
      <c r="R72" s="156"/>
      <c r="S72" s="157"/>
      <c r="AD72" s="48"/>
      <c r="AE72" s="48"/>
      <c r="AF72" s="48"/>
    </row>
    <row r="73" spans="2:32" ht="16.5" customHeight="1">
      <c r="B73" s="64" t="s">
        <v>5</v>
      </c>
      <c r="C73" s="58" t="s">
        <v>25</v>
      </c>
      <c r="D73" s="162">
        <v>440</v>
      </c>
      <c r="E73" s="147">
        <v>440</v>
      </c>
      <c r="F73" s="147">
        <v>440</v>
      </c>
      <c r="G73" s="148">
        <v>440</v>
      </c>
      <c r="H73" s="162">
        <v>440</v>
      </c>
      <c r="I73" s="147">
        <v>440</v>
      </c>
      <c r="J73" s="147">
        <v>440</v>
      </c>
      <c r="K73" s="148">
        <v>440</v>
      </c>
      <c r="L73" s="162">
        <v>440</v>
      </c>
      <c r="M73" s="147">
        <v>440</v>
      </c>
      <c r="N73" s="147">
        <v>440</v>
      </c>
      <c r="O73" s="148">
        <v>440</v>
      </c>
      <c r="P73" s="162">
        <v>550</v>
      </c>
      <c r="Q73" s="147">
        <v>550</v>
      </c>
      <c r="R73" s="147">
        <v>550</v>
      </c>
      <c r="S73" s="148">
        <v>550</v>
      </c>
      <c r="AD73" s="30"/>
      <c r="AE73" s="30"/>
      <c r="AF73" s="30"/>
    </row>
    <row r="74" spans="2:32" ht="16.5" customHeight="1">
      <c r="B74" s="64" t="s">
        <v>6</v>
      </c>
      <c r="C74" s="58" t="s">
        <v>22</v>
      </c>
      <c r="D74" s="128">
        <v>95</v>
      </c>
      <c r="E74" s="129">
        <v>95</v>
      </c>
      <c r="F74" s="129">
        <v>95</v>
      </c>
      <c r="G74" s="130">
        <v>95</v>
      </c>
      <c r="H74" s="128">
        <v>95</v>
      </c>
      <c r="I74" s="129">
        <v>95</v>
      </c>
      <c r="J74" s="129">
        <v>95</v>
      </c>
      <c r="K74" s="130">
        <v>95</v>
      </c>
      <c r="L74" s="128">
        <v>95</v>
      </c>
      <c r="M74" s="129">
        <v>95</v>
      </c>
      <c r="N74" s="129">
        <v>95</v>
      </c>
      <c r="O74" s="130">
        <v>95</v>
      </c>
      <c r="P74" s="162">
        <f>95/2</f>
        <v>47.5</v>
      </c>
      <c r="Q74" s="147">
        <f>95/2</f>
        <v>47.5</v>
      </c>
      <c r="R74" s="147">
        <f>95/2</f>
        <v>47.5</v>
      </c>
      <c r="S74" s="148">
        <f>95/2</f>
        <v>47.5</v>
      </c>
      <c r="AD74" s="30"/>
      <c r="AE74" s="30"/>
      <c r="AF74" s="30"/>
    </row>
    <row r="75" spans="2:32" ht="16.5" customHeight="1">
      <c r="B75" s="64" t="s">
        <v>7</v>
      </c>
      <c r="C75" s="58" t="s">
        <v>23</v>
      </c>
      <c r="D75" s="128">
        <v>160</v>
      </c>
      <c r="E75" s="129">
        <v>160</v>
      </c>
      <c r="F75" s="129">
        <v>160</v>
      </c>
      <c r="G75" s="130">
        <v>160</v>
      </c>
      <c r="H75" s="128">
        <v>160</v>
      </c>
      <c r="I75" s="129">
        <v>160</v>
      </c>
      <c r="J75" s="129">
        <v>160</v>
      </c>
      <c r="K75" s="130">
        <v>160</v>
      </c>
      <c r="L75" s="128">
        <v>160</v>
      </c>
      <c r="M75" s="129">
        <v>160</v>
      </c>
      <c r="N75" s="129">
        <v>160</v>
      </c>
      <c r="O75" s="130">
        <v>160</v>
      </c>
      <c r="P75" s="128">
        <v>160</v>
      </c>
      <c r="Q75" s="129">
        <v>160</v>
      </c>
      <c r="R75" s="129">
        <v>160</v>
      </c>
      <c r="S75" s="130">
        <v>160</v>
      </c>
      <c r="AD75" s="30"/>
      <c r="AE75" s="30"/>
      <c r="AF75" s="30"/>
    </row>
    <row r="76" spans="2:32" ht="14.25" customHeight="1" thickBot="1">
      <c r="B76" s="67" t="s">
        <v>9</v>
      </c>
      <c r="C76" s="59" t="s">
        <v>24</v>
      </c>
      <c r="D76" s="146">
        <v>300</v>
      </c>
      <c r="E76" s="144">
        <v>300</v>
      </c>
      <c r="F76" s="144">
        <v>300</v>
      </c>
      <c r="G76" s="145">
        <v>300</v>
      </c>
      <c r="H76" s="146">
        <v>150</v>
      </c>
      <c r="I76" s="144">
        <v>150</v>
      </c>
      <c r="J76" s="144">
        <v>150</v>
      </c>
      <c r="K76" s="145">
        <v>150</v>
      </c>
      <c r="L76" s="146">
        <v>150</v>
      </c>
      <c r="M76" s="144">
        <v>150</v>
      </c>
      <c r="N76" s="144">
        <v>150</v>
      </c>
      <c r="O76" s="145">
        <v>150</v>
      </c>
      <c r="P76" s="146">
        <v>300</v>
      </c>
      <c r="Q76" s="144">
        <v>300</v>
      </c>
      <c r="R76" s="144">
        <v>300</v>
      </c>
      <c r="S76" s="145">
        <v>300</v>
      </c>
      <c r="AD76" s="30"/>
      <c r="AE76" s="30"/>
      <c r="AF76" s="30"/>
    </row>
    <row r="77" spans="2:32" ht="30" customHeight="1" thickBot="1">
      <c r="B77" s="65">
        <v>4</v>
      </c>
      <c r="C77" s="57" t="s">
        <v>95</v>
      </c>
      <c r="D77" s="202">
        <f aca="true" t="shared" si="6" ref="D77:S77">+D73*0.95+SUM(D74:D76)*0.9</f>
        <v>917.5</v>
      </c>
      <c r="E77" s="203">
        <f t="shared" si="6"/>
        <v>917.5</v>
      </c>
      <c r="F77" s="203">
        <f t="shared" si="6"/>
        <v>917.5</v>
      </c>
      <c r="G77" s="204">
        <f t="shared" si="6"/>
        <v>917.5</v>
      </c>
      <c r="H77" s="202">
        <f t="shared" si="6"/>
        <v>782.5</v>
      </c>
      <c r="I77" s="203">
        <f t="shared" si="6"/>
        <v>782.5</v>
      </c>
      <c r="J77" s="203">
        <f t="shared" si="6"/>
        <v>782.5</v>
      </c>
      <c r="K77" s="204">
        <f t="shared" si="6"/>
        <v>782.5</v>
      </c>
      <c r="L77" s="202">
        <f t="shared" si="6"/>
        <v>782.5</v>
      </c>
      <c r="M77" s="203">
        <f t="shared" si="6"/>
        <v>782.5</v>
      </c>
      <c r="N77" s="203">
        <f t="shared" si="6"/>
        <v>782.5</v>
      </c>
      <c r="O77" s="204">
        <f t="shared" si="6"/>
        <v>782.5</v>
      </c>
      <c r="P77" s="202">
        <f t="shared" si="6"/>
        <v>979.25</v>
      </c>
      <c r="Q77" s="203">
        <f t="shared" si="6"/>
        <v>979.25</v>
      </c>
      <c r="R77" s="203">
        <f t="shared" si="6"/>
        <v>979.25</v>
      </c>
      <c r="S77" s="204">
        <f t="shared" si="6"/>
        <v>979.25</v>
      </c>
      <c r="AD77" s="49"/>
      <c r="AE77" s="49"/>
      <c r="AF77" s="49"/>
    </row>
    <row r="78" spans="2:32" ht="15" customHeight="1">
      <c r="B78" s="69"/>
      <c r="C78" s="72" t="s">
        <v>75</v>
      </c>
      <c r="D78" s="136"/>
      <c r="E78" s="137"/>
      <c r="F78" s="137"/>
      <c r="G78" s="138"/>
      <c r="H78" s="136"/>
      <c r="I78" s="137"/>
      <c r="J78" s="137"/>
      <c r="K78" s="138"/>
      <c r="L78" s="199"/>
      <c r="M78" s="200"/>
      <c r="N78" s="200"/>
      <c r="O78" s="201"/>
      <c r="P78" s="137"/>
      <c r="Q78" s="137"/>
      <c r="R78" s="129"/>
      <c r="S78" s="195"/>
      <c r="AD78" s="49"/>
      <c r="AE78" s="49"/>
      <c r="AF78" s="49"/>
    </row>
    <row r="79" spans="2:19" ht="15.75" customHeight="1">
      <c r="B79" s="64" t="s">
        <v>5</v>
      </c>
      <c r="C79" s="73" t="s">
        <v>73</v>
      </c>
      <c r="D79" s="128">
        <v>1675</v>
      </c>
      <c r="E79" s="129">
        <v>2003</v>
      </c>
      <c r="F79" s="129">
        <v>1675</v>
      </c>
      <c r="G79" s="130">
        <v>2003</v>
      </c>
      <c r="H79" s="128">
        <v>1675</v>
      </c>
      <c r="I79" s="129">
        <v>2003</v>
      </c>
      <c r="J79" s="129">
        <v>1675</v>
      </c>
      <c r="K79" s="130">
        <v>2003</v>
      </c>
      <c r="L79" s="128">
        <v>1675</v>
      </c>
      <c r="M79" s="129">
        <v>2003</v>
      </c>
      <c r="N79" s="129">
        <v>1675</v>
      </c>
      <c r="O79" s="130">
        <v>2003</v>
      </c>
      <c r="P79" s="128">
        <f>1675-165</f>
        <v>1510</v>
      </c>
      <c r="Q79" s="129">
        <f>2003-165</f>
        <v>1838</v>
      </c>
      <c r="R79" s="129">
        <v>1510</v>
      </c>
      <c r="S79" s="130">
        <v>1838</v>
      </c>
    </row>
    <row r="80" spans="2:19" ht="12.75" customHeight="1" thickBot="1">
      <c r="B80" s="67" t="s">
        <v>6</v>
      </c>
      <c r="C80" s="74" t="s">
        <v>74</v>
      </c>
      <c r="D80" s="132">
        <v>0</v>
      </c>
      <c r="E80" s="133">
        <v>118</v>
      </c>
      <c r="F80" s="133">
        <v>0</v>
      </c>
      <c r="G80" s="133">
        <v>118</v>
      </c>
      <c r="H80" s="132">
        <v>0</v>
      </c>
      <c r="I80" s="133">
        <v>118</v>
      </c>
      <c r="J80" s="133">
        <v>0</v>
      </c>
      <c r="K80" s="133">
        <v>118</v>
      </c>
      <c r="L80" s="132">
        <v>0</v>
      </c>
      <c r="M80" s="133">
        <v>118</v>
      </c>
      <c r="N80" s="133">
        <v>0</v>
      </c>
      <c r="O80" s="133">
        <v>118</v>
      </c>
      <c r="P80" s="132">
        <v>0</v>
      </c>
      <c r="Q80" s="133">
        <v>118</v>
      </c>
      <c r="R80" s="133">
        <v>0</v>
      </c>
      <c r="S80" s="133">
        <v>118</v>
      </c>
    </row>
    <row r="81" spans="2:19" ht="15.75" customHeight="1" thickBot="1">
      <c r="B81" s="65">
        <v>5</v>
      </c>
      <c r="C81" s="75" t="s">
        <v>71</v>
      </c>
      <c r="D81" s="139">
        <f aca="true" t="shared" si="7" ref="D81:S81">SUM(D79:D80)</f>
        <v>1675</v>
      </c>
      <c r="E81" s="140">
        <f t="shared" si="7"/>
        <v>2121</v>
      </c>
      <c r="F81" s="140">
        <f t="shared" si="7"/>
        <v>1675</v>
      </c>
      <c r="G81" s="141">
        <f t="shared" si="7"/>
        <v>2121</v>
      </c>
      <c r="H81" s="139">
        <f t="shared" si="7"/>
        <v>1675</v>
      </c>
      <c r="I81" s="140">
        <f t="shared" si="7"/>
        <v>2121</v>
      </c>
      <c r="J81" s="140">
        <f t="shared" si="7"/>
        <v>1675</v>
      </c>
      <c r="K81" s="141">
        <f t="shared" si="7"/>
        <v>2121</v>
      </c>
      <c r="L81" s="140">
        <f t="shared" si="7"/>
        <v>1675</v>
      </c>
      <c r="M81" s="140">
        <f t="shared" si="7"/>
        <v>2121</v>
      </c>
      <c r="N81" s="141">
        <f t="shared" si="7"/>
        <v>1675</v>
      </c>
      <c r="O81" s="141">
        <f t="shared" si="7"/>
        <v>2121</v>
      </c>
      <c r="P81" s="140">
        <f t="shared" si="7"/>
        <v>1510</v>
      </c>
      <c r="Q81" s="140">
        <f t="shared" si="7"/>
        <v>1956</v>
      </c>
      <c r="R81" s="140">
        <f t="shared" si="7"/>
        <v>1510</v>
      </c>
      <c r="S81" s="197">
        <f t="shared" si="7"/>
        <v>1956</v>
      </c>
    </row>
    <row r="82" spans="2:32" ht="27" customHeight="1">
      <c r="B82" s="69">
        <v>6</v>
      </c>
      <c r="C82" s="72" t="s">
        <v>107</v>
      </c>
      <c r="D82" s="136"/>
      <c r="E82" s="137"/>
      <c r="F82" s="137"/>
      <c r="G82" s="138"/>
      <c r="H82" s="136"/>
      <c r="I82" s="137"/>
      <c r="J82" s="137"/>
      <c r="K82" s="138"/>
      <c r="L82" s="199"/>
      <c r="M82" s="200"/>
      <c r="N82" s="200"/>
      <c r="O82" s="201"/>
      <c r="P82" s="137"/>
      <c r="Q82" s="137"/>
      <c r="R82" s="156"/>
      <c r="S82" s="195"/>
      <c r="AD82" s="49"/>
      <c r="AE82" s="49"/>
      <c r="AF82" s="49"/>
    </row>
    <row r="83" spans="2:32" ht="15" customHeight="1" thickBot="1">
      <c r="B83" s="135" t="s">
        <v>5</v>
      </c>
      <c r="C83" s="215" t="s">
        <v>110</v>
      </c>
      <c r="D83" s="218">
        <v>384</v>
      </c>
      <c r="E83" s="219">
        <v>384</v>
      </c>
      <c r="F83" s="219">
        <v>384</v>
      </c>
      <c r="G83" s="220">
        <v>384</v>
      </c>
      <c r="H83" s="218">
        <v>384</v>
      </c>
      <c r="I83" s="219">
        <v>384</v>
      </c>
      <c r="J83" s="219">
        <v>384</v>
      </c>
      <c r="K83" s="220">
        <v>384</v>
      </c>
      <c r="L83" s="218">
        <v>384</v>
      </c>
      <c r="M83" s="219">
        <v>384</v>
      </c>
      <c r="N83" s="219">
        <v>384</v>
      </c>
      <c r="O83" s="220">
        <v>384</v>
      </c>
      <c r="P83" s="218">
        <v>384</v>
      </c>
      <c r="Q83" s="219">
        <v>384</v>
      </c>
      <c r="R83" s="219">
        <v>384</v>
      </c>
      <c r="S83" s="221">
        <v>384</v>
      </c>
      <c r="AD83" s="49"/>
      <c r="AE83" s="49"/>
      <c r="AF83" s="49"/>
    </row>
    <row r="84" spans="2:32" ht="15" customHeight="1" thickBot="1">
      <c r="B84" s="135"/>
      <c r="C84" s="217" t="s">
        <v>71</v>
      </c>
      <c r="D84" s="139">
        <v>384</v>
      </c>
      <c r="E84" s="139">
        <v>384</v>
      </c>
      <c r="F84" s="139">
        <v>384</v>
      </c>
      <c r="G84" s="139">
        <v>384</v>
      </c>
      <c r="H84" s="139">
        <v>384</v>
      </c>
      <c r="I84" s="139">
        <v>384</v>
      </c>
      <c r="J84" s="139">
        <v>384</v>
      </c>
      <c r="K84" s="139">
        <v>384</v>
      </c>
      <c r="L84" s="139">
        <v>384</v>
      </c>
      <c r="M84" s="139">
        <v>384</v>
      </c>
      <c r="N84" s="139">
        <v>384</v>
      </c>
      <c r="O84" s="139">
        <v>384</v>
      </c>
      <c r="P84" s="139">
        <v>384</v>
      </c>
      <c r="Q84" s="139">
        <v>384</v>
      </c>
      <c r="R84" s="139">
        <v>384</v>
      </c>
      <c r="S84" s="197">
        <v>384</v>
      </c>
      <c r="AD84" s="49"/>
      <c r="AE84" s="49"/>
      <c r="AF84" s="49"/>
    </row>
    <row r="85" spans="2:19" ht="16.5" customHeight="1">
      <c r="B85" s="66"/>
      <c r="C85" s="60" t="s">
        <v>26</v>
      </c>
      <c r="D85" s="136"/>
      <c r="E85" s="137"/>
      <c r="F85" s="137"/>
      <c r="G85" s="138"/>
      <c r="H85" s="136"/>
      <c r="I85" s="137"/>
      <c r="J85" s="137"/>
      <c r="K85" s="138"/>
      <c r="L85" s="136"/>
      <c r="M85" s="137"/>
      <c r="N85" s="137"/>
      <c r="O85" s="195"/>
      <c r="P85" s="137"/>
      <c r="Q85" s="137"/>
      <c r="R85" s="156"/>
      <c r="S85" s="195"/>
    </row>
    <row r="86" spans="2:19" ht="16.5" customHeight="1">
      <c r="B86" s="64" t="s">
        <v>5</v>
      </c>
      <c r="C86" s="78" t="s">
        <v>27</v>
      </c>
      <c r="D86" s="128">
        <v>92</v>
      </c>
      <c r="E86" s="129">
        <v>92</v>
      </c>
      <c r="F86" s="129">
        <v>92</v>
      </c>
      <c r="G86" s="130">
        <v>92</v>
      </c>
      <c r="H86" s="128">
        <v>92</v>
      </c>
      <c r="I86" s="129">
        <v>92</v>
      </c>
      <c r="J86" s="129">
        <v>92</v>
      </c>
      <c r="K86" s="130">
        <v>92</v>
      </c>
      <c r="L86" s="128">
        <v>92</v>
      </c>
      <c r="M86" s="129">
        <v>92</v>
      </c>
      <c r="N86" s="129">
        <v>92</v>
      </c>
      <c r="O86" s="194">
        <v>92</v>
      </c>
      <c r="P86" s="128">
        <v>92</v>
      </c>
      <c r="Q86" s="129">
        <v>92</v>
      </c>
      <c r="R86" s="129">
        <v>92</v>
      </c>
      <c r="S86" s="194">
        <v>92</v>
      </c>
    </row>
    <row r="87" spans="2:19" ht="16.5" customHeight="1">
      <c r="B87" s="64" t="s">
        <v>6</v>
      </c>
      <c r="C87" s="279" t="s">
        <v>116</v>
      </c>
      <c r="D87" s="128">
        <v>0</v>
      </c>
      <c r="E87" s="129">
        <v>52</v>
      </c>
      <c r="F87" s="129">
        <v>0</v>
      </c>
      <c r="G87" s="130">
        <v>0</v>
      </c>
      <c r="H87" s="128">
        <v>0</v>
      </c>
      <c r="I87" s="129">
        <v>52</v>
      </c>
      <c r="J87" s="129">
        <v>0</v>
      </c>
      <c r="K87" s="130">
        <v>0</v>
      </c>
      <c r="L87" s="128">
        <v>0</v>
      </c>
      <c r="M87" s="129">
        <v>0</v>
      </c>
      <c r="N87" s="129">
        <v>0</v>
      </c>
      <c r="O87" s="194">
        <v>0</v>
      </c>
      <c r="P87" s="262">
        <v>0</v>
      </c>
      <c r="Q87" s="129">
        <v>0</v>
      </c>
      <c r="R87" s="129">
        <v>0</v>
      </c>
      <c r="S87" s="194">
        <v>0</v>
      </c>
    </row>
    <row r="88" spans="2:19" ht="16.5" customHeight="1">
      <c r="B88" s="64" t="s">
        <v>7</v>
      </c>
      <c r="C88" s="60" t="s">
        <v>117</v>
      </c>
      <c r="D88" s="128">
        <v>-47</v>
      </c>
      <c r="E88" s="129">
        <v>-47</v>
      </c>
      <c r="F88" s="129">
        <v>-47</v>
      </c>
      <c r="G88" s="130">
        <v>-34</v>
      </c>
      <c r="H88" s="128">
        <v>-47</v>
      </c>
      <c r="I88" s="129">
        <v>-47</v>
      </c>
      <c r="J88" s="129">
        <v>-47</v>
      </c>
      <c r="K88" s="130">
        <v>-34</v>
      </c>
      <c r="L88" s="128">
        <v>-47</v>
      </c>
      <c r="M88" s="129">
        <v>-47</v>
      </c>
      <c r="N88" s="129">
        <v>-47</v>
      </c>
      <c r="O88" s="194">
        <v>-24</v>
      </c>
      <c r="P88" s="262">
        <v>-47</v>
      </c>
      <c r="Q88" s="129">
        <v>-47</v>
      </c>
      <c r="R88" s="129">
        <v>-47</v>
      </c>
      <c r="S88" s="194">
        <v>-24</v>
      </c>
    </row>
    <row r="89" spans="2:19" ht="16.5" customHeight="1" thickBot="1">
      <c r="B89" s="260" t="s">
        <v>9</v>
      </c>
      <c r="C89" s="261" t="s">
        <v>118</v>
      </c>
      <c r="D89" s="218">
        <v>-17</v>
      </c>
      <c r="E89" s="219">
        <v>-17</v>
      </c>
      <c r="F89" s="219">
        <v>-17</v>
      </c>
      <c r="G89" s="220">
        <v>0</v>
      </c>
      <c r="H89" s="218">
        <v>-17</v>
      </c>
      <c r="I89" s="219">
        <v>-17</v>
      </c>
      <c r="J89" s="219">
        <v>-17</v>
      </c>
      <c r="K89" s="220">
        <v>0</v>
      </c>
      <c r="L89" s="218">
        <v>0</v>
      </c>
      <c r="M89" s="219">
        <v>0</v>
      </c>
      <c r="N89" s="219">
        <v>0</v>
      </c>
      <c r="O89" s="221">
        <v>0</v>
      </c>
      <c r="P89" s="263">
        <v>0</v>
      </c>
      <c r="Q89" s="219">
        <v>0</v>
      </c>
      <c r="R89" s="219">
        <v>0</v>
      </c>
      <c r="S89" s="221">
        <v>0</v>
      </c>
    </row>
    <row r="90" spans="2:19" s="1" customFormat="1" ht="16.5" customHeight="1" thickBot="1">
      <c r="B90" s="65">
        <v>7</v>
      </c>
      <c r="C90" s="57" t="s">
        <v>62</v>
      </c>
      <c r="D90" s="264">
        <f>SUM(D86:D89)</f>
        <v>28</v>
      </c>
      <c r="E90" s="265">
        <f aca="true" t="shared" si="8" ref="E90:S90">SUM(E86:E89)</f>
        <v>80</v>
      </c>
      <c r="F90" s="265">
        <f t="shared" si="8"/>
        <v>28</v>
      </c>
      <c r="G90" s="266">
        <f t="shared" si="8"/>
        <v>58</v>
      </c>
      <c r="H90" s="264">
        <f t="shared" si="8"/>
        <v>28</v>
      </c>
      <c r="I90" s="265">
        <f t="shared" si="8"/>
        <v>80</v>
      </c>
      <c r="J90" s="265">
        <f t="shared" si="8"/>
        <v>28</v>
      </c>
      <c r="K90" s="266">
        <f t="shared" si="8"/>
        <v>58</v>
      </c>
      <c r="L90" s="264">
        <f t="shared" si="8"/>
        <v>45</v>
      </c>
      <c r="M90" s="265">
        <f t="shared" si="8"/>
        <v>45</v>
      </c>
      <c r="N90" s="265">
        <f t="shared" si="8"/>
        <v>45</v>
      </c>
      <c r="O90" s="267">
        <f t="shared" si="8"/>
        <v>68</v>
      </c>
      <c r="P90" s="268">
        <f t="shared" si="8"/>
        <v>45</v>
      </c>
      <c r="Q90" s="265">
        <f t="shared" si="8"/>
        <v>45</v>
      </c>
      <c r="R90" s="265">
        <f t="shared" si="8"/>
        <v>45</v>
      </c>
      <c r="S90" s="267">
        <f t="shared" si="8"/>
        <v>68</v>
      </c>
    </row>
    <row r="91" spans="2:28" s="93" customFormat="1" ht="16.5" customHeight="1" thickBot="1">
      <c r="B91" s="92">
        <v>8</v>
      </c>
      <c r="C91" s="57" t="s">
        <v>108</v>
      </c>
      <c r="D91" s="222">
        <f aca="true" t="shared" si="9" ref="D91:S91">+D77+D81+D90+D84</f>
        <v>3004.5</v>
      </c>
      <c r="E91" s="223">
        <f t="shared" si="9"/>
        <v>3502.5</v>
      </c>
      <c r="F91" s="223">
        <f t="shared" si="9"/>
        <v>3004.5</v>
      </c>
      <c r="G91" s="224">
        <f t="shared" si="9"/>
        <v>3480.5</v>
      </c>
      <c r="H91" s="222">
        <f t="shared" si="9"/>
        <v>2869.5</v>
      </c>
      <c r="I91" s="223">
        <f t="shared" si="9"/>
        <v>3367.5</v>
      </c>
      <c r="J91" s="223">
        <f t="shared" si="9"/>
        <v>2869.5</v>
      </c>
      <c r="K91" s="224">
        <f t="shared" si="9"/>
        <v>3345.5</v>
      </c>
      <c r="L91" s="222">
        <f t="shared" si="9"/>
        <v>2886.5</v>
      </c>
      <c r="M91" s="223">
        <f t="shared" si="9"/>
        <v>3332.5</v>
      </c>
      <c r="N91" s="223">
        <f t="shared" si="9"/>
        <v>2886.5</v>
      </c>
      <c r="O91" s="224">
        <f t="shared" si="9"/>
        <v>3355.5</v>
      </c>
      <c r="P91" s="222">
        <f t="shared" si="9"/>
        <v>2918.25</v>
      </c>
      <c r="Q91" s="223">
        <f t="shared" si="9"/>
        <v>3364.25</v>
      </c>
      <c r="R91" s="223">
        <f t="shared" si="9"/>
        <v>2918.25</v>
      </c>
      <c r="S91" s="224">
        <f t="shared" si="9"/>
        <v>3387.25</v>
      </c>
      <c r="T91" s="112"/>
      <c r="U91" s="112"/>
      <c r="V91" s="112"/>
      <c r="W91" s="112"/>
      <c r="X91" s="112"/>
      <c r="Y91" s="112"/>
      <c r="Z91" s="112"/>
      <c r="AA91" s="112"/>
      <c r="AB91" s="112"/>
    </row>
    <row r="92" spans="2:28" ht="16.5" customHeight="1" thickBot="1">
      <c r="B92" s="95">
        <v>9</v>
      </c>
      <c r="C92" s="96" t="s">
        <v>109</v>
      </c>
      <c r="D92" s="158">
        <f aca="true" t="shared" si="10" ref="D92:S92">+D91-D71</f>
        <v>1454.5</v>
      </c>
      <c r="E92" s="150">
        <f t="shared" si="10"/>
        <v>202.5</v>
      </c>
      <c r="F92" s="150">
        <f t="shared" si="10"/>
        <v>404.5</v>
      </c>
      <c r="G92" s="151">
        <f t="shared" si="10"/>
        <v>180.5</v>
      </c>
      <c r="H92" s="158">
        <f t="shared" si="10"/>
        <v>1319.5</v>
      </c>
      <c r="I92" s="150">
        <f t="shared" si="10"/>
        <v>267.5</v>
      </c>
      <c r="J92" s="150">
        <f t="shared" si="10"/>
        <v>169.5</v>
      </c>
      <c r="K92" s="151">
        <f t="shared" si="10"/>
        <v>495.5</v>
      </c>
      <c r="L92" s="158">
        <f t="shared" si="10"/>
        <v>1286.5</v>
      </c>
      <c r="M92" s="150">
        <f t="shared" si="10"/>
        <v>532.5</v>
      </c>
      <c r="N92" s="150">
        <f t="shared" si="10"/>
        <v>286.5</v>
      </c>
      <c r="O92" s="198">
        <f t="shared" si="10"/>
        <v>455.5</v>
      </c>
      <c r="P92" s="150">
        <f t="shared" si="10"/>
        <v>1068.25</v>
      </c>
      <c r="Q92" s="150">
        <f t="shared" si="10"/>
        <v>664.25</v>
      </c>
      <c r="R92" s="150">
        <f t="shared" si="10"/>
        <v>218.25</v>
      </c>
      <c r="S92" s="236">
        <f t="shared" si="10"/>
        <v>-112.75</v>
      </c>
      <c r="T92" s="48"/>
      <c r="U92" s="48"/>
      <c r="V92" s="48"/>
      <c r="W92" s="48"/>
      <c r="X92" s="48"/>
      <c r="Y92" s="48"/>
      <c r="Z92" s="48"/>
      <c r="AA92" s="48"/>
      <c r="AB92" s="48"/>
    </row>
    <row r="93" spans="2:28" ht="12.75">
      <c r="B93" s="54">
        <v>1</v>
      </c>
      <c r="C93" s="55" t="s">
        <v>84</v>
      </c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159"/>
      <c r="U93" s="159"/>
      <c r="V93" s="159"/>
      <c r="W93" s="159"/>
      <c r="X93" s="159"/>
      <c r="Y93" s="159"/>
      <c r="Z93" s="159"/>
      <c r="AA93" s="159"/>
      <c r="AB93" s="48"/>
    </row>
    <row r="94" spans="2:27" ht="12.75">
      <c r="B94" s="5" t="s">
        <v>67</v>
      </c>
      <c r="C94" s="56" t="s">
        <v>92</v>
      </c>
      <c r="D94" s="56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2:27" ht="12.75">
      <c r="B95" s="5" t="s">
        <v>94</v>
      </c>
      <c r="C95" s="56" t="s">
        <v>93</v>
      </c>
      <c r="D95" s="56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2:27" ht="12.75">
      <c r="B96" s="54">
        <v>4</v>
      </c>
      <c r="C96" s="56" t="s">
        <v>105</v>
      </c>
      <c r="D96" s="56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2:27" ht="12.75">
      <c r="B97" s="54">
        <v>5</v>
      </c>
      <c r="C97" s="56" t="s">
        <v>104</v>
      </c>
      <c r="D97" s="56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2:4" ht="12.75">
      <c r="B98" s="54">
        <v>6</v>
      </c>
      <c r="C98" s="56" t="s">
        <v>106</v>
      </c>
      <c r="D98" s="56"/>
    </row>
    <row r="99" spans="2:3" ht="12.75">
      <c r="B99" s="54">
        <v>7</v>
      </c>
      <c r="C99" s="56" t="s">
        <v>121</v>
      </c>
    </row>
  </sheetData>
  <mergeCells count="28">
    <mergeCell ref="D60:D68"/>
    <mergeCell ref="F60:F68"/>
    <mergeCell ref="H60:H68"/>
    <mergeCell ref="J60:J68"/>
    <mergeCell ref="L57:S57"/>
    <mergeCell ref="L60:L68"/>
    <mergeCell ref="N60:N68"/>
    <mergeCell ref="P60:P68"/>
    <mergeCell ref="R60:R68"/>
    <mergeCell ref="P58:S58"/>
    <mergeCell ref="L58:O58"/>
    <mergeCell ref="F11:F19"/>
    <mergeCell ref="L9:O9"/>
    <mergeCell ref="P9:S9"/>
    <mergeCell ref="L11:L19"/>
    <mergeCell ref="N11:N19"/>
    <mergeCell ref="P11:P19"/>
    <mergeCell ref="R11:R19"/>
    <mergeCell ref="D57:K57"/>
    <mergeCell ref="D58:G58"/>
    <mergeCell ref="H58:K58"/>
    <mergeCell ref="L8:S8"/>
    <mergeCell ref="E8:K8"/>
    <mergeCell ref="E9:G9"/>
    <mergeCell ref="I9:K9"/>
    <mergeCell ref="H11:H19"/>
    <mergeCell ref="J11:J19"/>
    <mergeCell ref="D11:D19"/>
  </mergeCells>
  <printOptions horizontalCentered="1"/>
  <pageMargins left="0.5" right="0.25" top="0.25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0"/>
  <sheetViews>
    <sheetView zoomScale="75" zoomScaleNormal="75" workbookViewId="0" topLeftCell="A19">
      <selection activeCell="A8" sqref="A8"/>
    </sheetView>
  </sheetViews>
  <sheetFormatPr defaultColWidth="9.140625" defaultRowHeight="12.75"/>
  <cols>
    <col min="1" max="1" width="6.28125" style="0" customWidth="1"/>
    <col min="2" max="2" width="65.00390625" style="0" customWidth="1"/>
    <col min="3" max="3" width="7.7109375" style="0" customWidth="1"/>
    <col min="4" max="5" width="7.140625" style="0" customWidth="1"/>
    <col min="6" max="7" width="7.8515625" style="0" customWidth="1"/>
    <col min="8" max="9" width="7.7109375" style="0" customWidth="1"/>
    <col min="10" max="11" width="7.421875" style="0" customWidth="1"/>
    <col min="12" max="13" width="7.57421875" style="0" customWidth="1"/>
    <col min="14" max="15" width="8.00390625" style="0" customWidth="1"/>
    <col min="16" max="17" width="7.7109375" style="0" customWidth="1"/>
    <col min="18" max="19" width="7.421875" style="0" customWidth="1"/>
    <col min="20" max="21" width="7.7109375" style="0" customWidth="1"/>
    <col min="22" max="25" width="8.140625" style="0" customWidth="1"/>
    <col min="26" max="26" width="7.57421875" style="0" customWidth="1"/>
    <col min="28" max="28" width="10.28125" style="0" customWidth="1"/>
  </cols>
  <sheetData>
    <row r="1" spans="4:5" ht="18">
      <c r="D1" s="79" t="s">
        <v>0</v>
      </c>
      <c r="E1" s="79"/>
    </row>
    <row r="2" spans="2:3" ht="15">
      <c r="B2" s="80" t="s">
        <v>83</v>
      </c>
      <c r="C2" s="80"/>
    </row>
    <row r="3" ht="6" customHeight="1"/>
    <row r="4" spans="2:3" ht="15.75">
      <c r="B4" s="7" t="s">
        <v>120</v>
      </c>
      <c r="C4" s="7"/>
    </row>
    <row r="5" spans="1:21" ht="12.75">
      <c r="A5" s="87" t="s">
        <v>82</v>
      </c>
      <c r="T5" s="87"/>
      <c r="U5" s="87"/>
    </row>
    <row r="6" spans="1:21" ht="5.25" customHeight="1">
      <c r="A6" s="87"/>
      <c r="T6" s="87"/>
      <c r="U6" s="87"/>
    </row>
    <row r="7" spans="1:34" s="8" customFormat="1" ht="15" customHeight="1" thickBot="1">
      <c r="A7" s="9" t="s">
        <v>32</v>
      </c>
      <c r="D7" s="88"/>
      <c r="E7" s="88"/>
      <c r="N7" s="89"/>
      <c r="O7" s="89"/>
      <c r="P7" s="91" t="s">
        <v>119</v>
      </c>
      <c r="V7" s="91"/>
      <c r="W7" s="91"/>
      <c r="X7" s="88"/>
      <c r="Y7" s="88"/>
      <c r="AG7" s="90"/>
      <c r="AH7" s="89"/>
    </row>
    <row r="8" spans="1:27" ht="16.5" thickBot="1">
      <c r="A8" s="10" t="s">
        <v>1</v>
      </c>
      <c r="B8" s="163" t="s">
        <v>2</v>
      </c>
      <c r="C8" s="300" t="s">
        <v>101</v>
      </c>
      <c r="D8" s="281"/>
      <c r="E8" s="281"/>
      <c r="F8" s="281"/>
      <c r="G8" s="281"/>
      <c r="H8" s="281"/>
      <c r="I8" s="281"/>
      <c r="J8" s="282"/>
      <c r="K8" s="284" t="s">
        <v>102</v>
      </c>
      <c r="L8" s="302"/>
      <c r="M8" s="302"/>
      <c r="N8" s="302"/>
      <c r="O8" s="302"/>
      <c r="P8" s="302"/>
      <c r="Q8" s="302"/>
      <c r="R8" s="303"/>
      <c r="S8" s="54"/>
      <c r="T8" s="54"/>
      <c r="U8" s="54"/>
      <c r="V8" s="54"/>
      <c r="W8" s="54"/>
      <c r="X8" s="54"/>
      <c r="Y8" s="54"/>
      <c r="Z8" s="54"/>
      <c r="AA8" s="54"/>
    </row>
    <row r="9" spans="1:27" ht="13.5" thickBot="1">
      <c r="A9" s="11" t="s">
        <v>3</v>
      </c>
      <c r="B9" s="4"/>
      <c r="C9" s="301" t="s">
        <v>29</v>
      </c>
      <c r="D9" s="281"/>
      <c r="E9" s="281"/>
      <c r="F9" s="282"/>
      <c r="G9" s="301" t="s">
        <v>30</v>
      </c>
      <c r="H9" s="281"/>
      <c r="I9" s="281"/>
      <c r="J9" s="282"/>
      <c r="K9" s="301" t="s">
        <v>29</v>
      </c>
      <c r="L9" s="281"/>
      <c r="M9" s="281"/>
      <c r="N9" s="281"/>
      <c r="O9" s="301" t="s">
        <v>30</v>
      </c>
      <c r="P9" s="281"/>
      <c r="Q9" s="281"/>
      <c r="R9" s="282"/>
      <c r="S9" s="54"/>
      <c r="T9" s="54"/>
      <c r="U9" s="54"/>
      <c r="V9" s="54"/>
      <c r="W9" s="54"/>
      <c r="X9" s="54"/>
      <c r="Y9" s="54"/>
      <c r="Z9" s="54"/>
      <c r="AA9" s="54"/>
    </row>
    <row r="10" spans="1:27" ht="23.25" thickBot="1">
      <c r="A10" s="11"/>
      <c r="B10" s="37"/>
      <c r="C10" s="186" t="s">
        <v>85</v>
      </c>
      <c r="D10" s="187" t="s">
        <v>86</v>
      </c>
      <c r="E10" s="241" t="s">
        <v>87</v>
      </c>
      <c r="F10" s="187" t="s">
        <v>88</v>
      </c>
      <c r="G10" s="186" t="s">
        <v>85</v>
      </c>
      <c r="H10" s="187" t="s">
        <v>86</v>
      </c>
      <c r="I10" s="241" t="s">
        <v>87</v>
      </c>
      <c r="J10" s="187" t="s">
        <v>88</v>
      </c>
      <c r="K10" s="186" t="s">
        <v>85</v>
      </c>
      <c r="L10" s="187" t="s">
        <v>86</v>
      </c>
      <c r="M10" s="241" t="s">
        <v>87</v>
      </c>
      <c r="N10" s="187" t="s">
        <v>88</v>
      </c>
      <c r="O10" s="186" t="s">
        <v>85</v>
      </c>
      <c r="P10" s="187" t="s">
        <v>86</v>
      </c>
      <c r="Q10" s="241" t="s">
        <v>87</v>
      </c>
      <c r="R10" s="187" t="s">
        <v>88</v>
      </c>
      <c r="S10" s="54"/>
      <c r="T10" s="54"/>
      <c r="U10" s="54"/>
      <c r="V10" s="54"/>
      <c r="W10" s="54"/>
      <c r="X10" s="54"/>
      <c r="Y10" s="54"/>
      <c r="Z10" s="54"/>
      <c r="AA10" s="54"/>
    </row>
    <row r="11" spans="1:27" s="177" customFormat="1" ht="13.5" thickBot="1">
      <c r="A11" s="12" t="s">
        <v>5</v>
      </c>
      <c r="B11" s="13" t="s">
        <v>103</v>
      </c>
      <c r="C11" s="191">
        <f>+'WINTER 2007-08 Detailed'!D22</f>
        <v>1450</v>
      </c>
      <c r="D11" s="239">
        <f>+'WINTER 2007-08 Detailed'!E22</f>
        <v>3300</v>
      </c>
      <c r="E11" s="242">
        <f>+'WINTER 2007-08 Detailed'!F22</f>
        <v>2400</v>
      </c>
      <c r="F11" s="191">
        <f>+'WINTER 2007-08 Detailed'!G22</f>
        <v>3300</v>
      </c>
      <c r="G11" s="191">
        <f>+'WINTER 2007-08 Detailed'!H22</f>
        <v>1450</v>
      </c>
      <c r="H11" s="239">
        <f>+'WINTER 2007-08 Detailed'!I22</f>
        <v>3500</v>
      </c>
      <c r="I11" s="242">
        <f>+'WINTER 2007-08 Detailed'!J22</f>
        <v>2700</v>
      </c>
      <c r="J11" s="191">
        <f>+'WINTER 2007-08 Detailed'!K22</f>
        <v>3400</v>
      </c>
      <c r="K11" s="191">
        <f>+'WINTER 2007-08 Detailed'!L22</f>
        <v>1600</v>
      </c>
      <c r="L11" s="239">
        <f>+'WINTER 2007-08 Detailed'!M22</f>
        <v>3500</v>
      </c>
      <c r="M11" s="242">
        <f>+'WINTER 2007-08 Detailed'!N22</f>
        <v>3100</v>
      </c>
      <c r="N11" s="191">
        <f>+'WINTER 2007-08 Detailed'!O22</f>
        <v>3500</v>
      </c>
      <c r="O11" s="191">
        <f>+'WINTER 2007-08 Detailed'!P22</f>
        <v>1550</v>
      </c>
      <c r="P11" s="239">
        <f>+'WINTER 2007-08 Detailed'!Q22</f>
        <v>3400</v>
      </c>
      <c r="Q11" s="242">
        <f>+'WINTER 2007-08 Detailed'!R22</f>
        <v>3200</v>
      </c>
      <c r="R11" s="239">
        <f>+'WINTER 2007-08 Detailed'!S22</f>
        <v>3400</v>
      </c>
      <c r="S11" s="176"/>
      <c r="T11" s="176"/>
      <c r="U11" s="176"/>
      <c r="V11" s="176"/>
      <c r="W11" s="176"/>
      <c r="X11" s="176"/>
      <c r="Y11" s="176"/>
      <c r="Z11" s="176"/>
      <c r="AA11" s="176"/>
    </row>
    <row r="12" spans="1:18" s="1" customFormat="1" ht="13.5" thickBot="1">
      <c r="A12" s="14" t="s">
        <v>6</v>
      </c>
      <c r="B12" s="15" t="s">
        <v>77</v>
      </c>
      <c r="C12" s="174">
        <f aca="true" t="shared" si="0" ref="C12:R12">+C11-C42-C48</f>
        <v>1335</v>
      </c>
      <c r="D12" s="175">
        <f t="shared" si="0"/>
        <v>3070</v>
      </c>
      <c r="E12" s="243">
        <f t="shared" si="0"/>
        <v>2220</v>
      </c>
      <c r="F12" s="175">
        <f t="shared" si="0"/>
        <v>3120</v>
      </c>
      <c r="G12" s="174">
        <f t="shared" si="0"/>
        <v>1335</v>
      </c>
      <c r="H12" s="175">
        <f t="shared" si="0"/>
        <v>3270</v>
      </c>
      <c r="I12" s="243">
        <f t="shared" si="0"/>
        <v>2520</v>
      </c>
      <c r="J12" s="175">
        <f t="shared" si="0"/>
        <v>3220</v>
      </c>
      <c r="K12" s="174">
        <f t="shared" si="0"/>
        <v>1485</v>
      </c>
      <c r="L12" s="175">
        <f t="shared" si="0"/>
        <v>3250</v>
      </c>
      <c r="M12" s="243">
        <f t="shared" si="0"/>
        <v>2900</v>
      </c>
      <c r="N12" s="175">
        <f t="shared" si="0"/>
        <v>3300</v>
      </c>
      <c r="O12" s="174">
        <f t="shared" si="0"/>
        <v>1435</v>
      </c>
      <c r="P12" s="175">
        <f t="shared" si="0"/>
        <v>3150</v>
      </c>
      <c r="Q12" s="243">
        <f t="shared" si="0"/>
        <v>3000</v>
      </c>
      <c r="R12" s="175">
        <f t="shared" si="0"/>
        <v>3200</v>
      </c>
    </row>
    <row r="13" spans="1:27" ht="13.5" thickBot="1">
      <c r="A13" s="304" t="s">
        <v>33</v>
      </c>
      <c r="B13" s="305"/>
      <c r="C13" s="184"/>
      <c r="D13" s="25"/>
      <c r="E13" s="244"/>
      <c r="F13" s="189"/>
      <c r="G13" s="184"/>
      <c r="H13" s="25"/>
      <c r="I13" s="244"/>
      <c r="J13" s="189"/>
      <c r="K13" s="184"/>
      <c r="L13" s="25"/>
      <c r="M13" s="244"/>
      <c r="N13" s="189"/>
      <c r="O13" s="184"/>
      <c r="P13" s="25"/>
      <c r="Q13" s="244"/>
      <c r="R13" s="189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2.75">
      <c r="A14" s="101" t="s">
        <v>34</v>
      </c>
      <c r="B14" s="102" t="s">
        <v>35</v>
      </c>
      <c r="C14" s="183">
        <f aca="true" t="shared" si="1" ref="C14:J14">+C12*0.2918</f>
        <v>389.553</v>
      </c>
      <c r="D14" s="103">
        <f t="shared" si="1"/>
        <v>895.826</v>
      </c>
      <c r="E14" s="245">
        <f t="shared" si="1"/>
        <v>647.796</v>
      </c>
      <c r="F14" s="103">
        <f t="shared" si="1"/>
        <v>910.416</v>
      </c>
      <c r="G14" s="183">
        <f t="shared" si="1"/>
        <v>389.553</v>
      </c>
      <c r="H14" s="103">
        <f t="shared" si="1"/>
        <v>954.186</v>
      </c>
      <c r="I14" s="245">
        <f t="shared" si="1"/>
        <v>735.336</v>
      </c>
      <c r="J14" s="103">
        <f t="shared" si="1"/>
        <v>939.596</v>
      </c>
      <c r="K14" s="183">
        <f aca="true" t="shared" si="2" ref="K14:R14">+K12*0.2918</f>
        <v>433.323</v>
      </c>
      <c r="L14" s="103">
        <f t="shared" si="2"/>
        <v>948.35</v>
      </c>
      <c r="M14" s="245">
        <f t="shared" si="2"/>
        <v>846.22</v>
      </c>
      <c r="N14" s="103">
        <f t="shared" si="2"/>
        <v>962.94</v>
      </c>
      <c r="O14" s="183">
        <f t="shared" si="2"/>
        <v>418.733</v>
      </c>
      <c r="P14" s="103">
        <f t="shared" si="2"/>
        <v>919.17</v>
      </c>
      <c r="Q14" s="245">
        <f t="shared" si="2"/>
        <v>875.4</v>
      </c>
      <c r="R14" s="103">
        <f t="shared" si="2"/>
        <v>933.76</v>
      </c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2.75">
      <c r="A15" s="17"/>
      <c r="B15" s="18" t="s">
        <v>36</v>
      </c>
      <c r="C15" s="165"/>
      <c r="D15" s="19"/>
      <c r="E15" s="246"/>
      <c r="F15" s="19"/>
      <c r="G15" s="165"/>
      <c r="H15" s="19"/>
      <c r="I15" s="246"/>
      <c r="J15" s="19"/>
      <c r="K15" s="165"/>
      <c r="L15" s="19"/>
      <c r="M15" s="246"/>
      <c r="N15" s="19"/>
      <c r="O15" s="165"/>
      <c r="P15" s="19"/>
      <c r="Q15" s="246"/>
      <c r="R15" s="19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2.75">
      <c r="A16" s="17">
        <v>1</v>
      </c>
      <c r="B16" s="20" t="s">
        <v>37</v>
      </c>
      <c r="C16" s="6">
        <f>('WINTER 2007-08 Detailed'!D28+'WINTER 2007-08 Detailed'!D32+'WINTER 2007-08 Detailed'!D35-'Discom Combined'!C17-'Discom Combined'!C26-'Discom Combined'!C35-'Discom Combined'!C45-'Discom Combined'!C49)*0.2918</f>
        <v>618.8642478902709</v>
      </c>
      <c r="D16" s="164">
        <f>('WINTER 2007-08 Detailed'!E28+'WINTER 2007-08 Detailed'!E32+'WINTER 2007-08 Detailed'!E35-'Discom Combined'!D17-'Discom Combined'!D26-'Discom Combined'!D35-'Discom Combined'!D45-'Discom Combined'!D49)*0.2918</f>
        <v>749.007047890271</v>
      </c>
      <c r="E16" s="238">
        <f>('WINTER 2007-08 Detailed'!F28+'WINTER 2007-08 Detailed'!F32+'WINTER 2007-08 Detailed'!F35-'Discom Combined'!E17-'Discom Combined'!E26-'Discom Combined'!E35-'Discom Combined'!E45-'Discom Combined'!E49)*0.2918</f>
        <v>618.8642478902709</v>
      </c>
      <c r="F16" s="164">
        <f>('WINTER 2007-08 Detailed'!G28+'WINTER 2007-08 Detailed'!G32+'WINTER 2007-08 Detailed'!G35-'Discom Combined'!F17-'Discom Combined'!F26-'Discom Combined'!F35-'Discom Combined'!F45-'Discom Combined'!F49)*0.2918</f>
        <v>749.007047890271</v>
      </c>
      <c r="G16" s="6">
        <f>('WINTER 2007-08 Detailed'!H28+'WINTER 2007-08 Detailed'!H32+'WINTER 2007-08 Detailed'!H35-'Discom Combined'!G17-'Discom Combined'!G26-'Discom Combined'!G35-'Discom Combined'!G45-'Discom Combined'!G49)*0.2918</f>
        <v>631.747</v>
      </c>
      <c r="H16" s="164">
        <f>('WINTER 2007-08 Detailed'!I28+'WINTER 2007-08 Detailed'!I32+'WINTER 2007-08 Detailed'!I35-'Discom Combined'!H17-'Discom Combined'!H26-'Discom Combined'!H35-'Discom Combined'!H45-'Discom Combined'!H49)*0.2918</f>
        <v>761.8898</v>
      </c>
      <c r="I16" s="238">
        <f>('WINTER 2007-08 Detailed'!J28+'WINTER 2007-08 Detailed'!J32+'WINTER 2007-08 Detailed'!J35-'Discom Combined'!I17-'Discom Combined'!I26-'Discom Combined'!I35-'Discom Combined'!I45-'Discom Combined'!I49)*0.2918</f>
        <v>631.747</v>
      </c>
      <c r="J16" s="164">
        <f>('WINTER 2007-08 Detailed'!K28+'WINTER 2007-08 Detailed'!K32+'WINTER 2007-08 Detailed'!K35-'Discom Combined'!J17-'Discom Combined'!J26-'Discom Combined'!J35-'Discom Combined'!J45-'Discom Combined'!J49)*0.2918</f>
        <v>761.8898</v>
      </c>
      <c r="K16" s="6">
        <f>('WINTER 2007-08 Detailed'!L28+'WINTER 2007-08 Detailed'!L32+'WINTER 2007-08 Detailed'!L35-'Discom Combined'!K17-'Discom Combined'!K26-'Discom Combined'!K35-'Discom Combined'!K45-'Discom Combined'!K49)*0.2918</f>
        <v>743.7982000000001</v>
      </c>
      <c r="L16" s="164">
        <f>('WINTER 2007-08 Detailed'!M28+'WINTER 2007-08 Detailed'!M32+'WINTER 2007-08 Detailed'!M35-'Discom Combined'!L17-'Discom Combined'!L26-'Discom Combined'!L35-'Discom Combined'!L45-'Discom Combined'!L49)*0.2918</f>
        <v>873.941</v>
      </c>
      <c r="M16" s="238">
        <f>('WINTER 2007-08 Detailed'!N28+'WINTER 2007-08 Detailed'!N32+'WINTER 2007-08 Detailed'!N35-'Discom Combined'!M17-'Discom Combined'!M26-'Discom Combined'!M35-'Discom Combined'!M45-'Discom Combined'!M49)*0.2918</f>
        <v>743.7982000000001</v>
      </c>
      <c r="N16" s="164">
        <f>('WINTER 2007-08 Detailed'!O28+'WINTER 2007-08 Detailed'!O32+'WINTER 2007-08 Detailed'!O35-'Discom Combined'!N17-'Discom Combined'!N26-'Discom Combined'!N35-'Discom Combined'!N45-'Discom Combined'!N49)*0.2918</f>
        <v>873.941</v>
      </c>
      <c r="O16" s="6">
        <f>('WINTER 2007-08 Detailed'!P28+'WINTER 2007-08 Detailed'!P32+'WINTER 2007-08 Detailed'!P35-'Discom Combined'!O17-'Discom Combined'!O26-'Discom Combined'!O35-'Discom Combined'!O45-'Discom Combined'!O49)*0.2918</f>
        <v>743.7982000000001</v>
      </c>
      <c r="P16" s="164">
        <f>('WINTER 2007-08 Detailed'!Q28+'WINTER 2007-08 Detailed'!Q32+'WINTER 2007-08 Detailed'!Q35-'Discom Combined'!P17-'Discom Combined'!P26-'Discom Combined'!P35-'Discom Combined'!P45-'Discom Combined'!P49)*0.2918</f>
        <v>873.941</v>
      </c>
      <c r="Q16" s="238">
        <f>('WINTER 2007-08 Detailed'!R28+'WINTER 2007-08 Detailed'!R32+'WINTER 2007-08 Detailed'!R35-'Discom Combined'!Q17-'Discom Combined'!Q26-'Discom Combined'!Q35-'Discom Combined'!Q45-'Discom Combined'!Q49)*0.2918</f>
        <v>743.7982000000001</v>
      </c>
      <c r="R16" s="164">
        <f>('WINTER 2007-08 Detailed'!S28+'WINTER 2007-08 Detailed'!S32+'WINTER 2007-08 Detailed'!S35-'Discom Combined'!R17-'Discom Combined'!R26-'Discom Combined'!R35-'Discom Combined'!R45-'Discom Combined'!R49)*0.2918</f>
        <v>873.941</v>
      </c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2.75">
      <c r="A17" s="17">
        <v>2</v>
      </c>
      <c r="B17" s="20" t="s">
        <v>38</v>
      </c>
      <c r="C17" s="166">
        <f>(266*((2393-95)/2393))*0.35</f>
        <v>89.40401170079399</v>
      </c>
      <c r="D17" s="21">
        <f>(266*((2393-95)/2393))*0.35</f>
        <v>89.40401170079399</v>
      </c>
      <c r="E17" s="247">
        <f>(266*((2393-95)/2393))*0.35</f>
        <v>89.40401170079399</v>
      </c>
      <c r="F17" s="21">
        <f>(266*((2393-95)/2393))*0.35</f>
        <v>89.40401170079399</v>
      </c>
      <c r="G17" s="166">
        <f aca="true" t="shared" si="3" ref="G17:R17">(266*((2393-0)/2393))*0.35</f>
        <v>93.1</v>
      </c>
      <c r="H17" s="21">
        <f t="shared" si="3"/>
        <v>93.1</v>
      </c>
      <c r="I17" s="247">
        <f t="shared" si="3"/>
        <v>93.1</v>
      </c>
      <c r="J17" s="21">
        <f t="shared" si="3"/>
        <v>93.1</v>
      </c>
      <c r="K17" s="166">
        <f t="shared" si="3"/>
        <v>93.1</v>
      </c>
      <c r="L17" s="21">
        <f t="shared" si="3"/>
        <v>93.1</v>
      </c>
      <c r="M17" s="247">
        <f t="shared" si="3"/>
        <v>93.1</v>
      </c>
      <c r="N17" s="21">
        <f t="shared" si="3"/>
        <v>93.1</v>
      </c>
      <c r="O17" s="166">
        <f t="shared" si="3"/>
        <v>93.1</v>
      </c>
      <c r="P17" s="21">
        <f t="shared" si="3"/>
        <v>93.1</v>
      </c>
      <c r="Q17" s="247">
        <f t="shared" si="3"/>
        <v>93.1</v>
      </c>
      <c r="R17" s="21">
        <f t="shared" si="3"/>
        <v>93.1</v>
      </c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2.75">
      <c r="A18" s="17">
        <v>3</v>
      </c>
      <c r="B18" s="22" t="s">
        <v>39</v>
      </c>
      <c r="C18" s="166">
        <f aca="true" t="shared" si="4" ref="C18:R18">92*0.2918</f>
        <v>26.8456</v>
      </c>
      <c r="D18" s="21">
        <f t="shared" si="4"/>
        <v>26.8456</v>
      </c>
      <c r="E18" s="247">
        <f t="shared" si="4"/>
        <v>26.8456</v>
      </c>
      <c r="F18" s="21">
        <f t="shared" si="4"/>
        <v>26.8456</v>
      </c>
      <c r="G18" s="166">
        <f t="shared" si="4"/>
        <v>26.8456</v>
      </c>
      <c r="H18" s="21">
        <f t="shared" si="4"/>
        <v>26.8456</v>
      </c>
      <c r="I18" s="247">
        <f t="shared" si="4"/>
        <v>26.8456</v>
      </c>
      <c r="J18" s="21">
        <f t="shared" si="4"/>
        <v>26.8456</v>
      </c>
      <c r="K18" s="166">
        <f t="shared" si="4"/>
        <v>26.8456</v>
      </c>
      <c r="L18" s="21">
        <f t="shared" si="4"/>
        <v>26.8456</v>
      </c>
      <c r="M18" s="247">
        <f t="shared" si="4"/>
        <v>26.8456</v>
      </c>
      <c r="N18" s="21">
        <f t="shared" si="4"/>
        <v>26.8456</v>
      </c>
      <c r="O18" s="166">
        <f t="shared" si="4"/>
        <v>26.8456</v>
      </c>
      <c r="P18" s="21">
        <f t="shared" si="4"/>
        <v>26.8456</v>
      </c>
      <c r="Q18" s="247">
        <f t="shared" si="4"/>
        <v>26.8456</v>
      </c>
      <c r="R18" s="21">
        <f t="shared" si="4"/>
        <v>26.8456</v>
      </c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3.5" thickBot="1">
      <c r="A19" s="17">
        <v>4</v>
      </c>
      <c r="B19" s="226" t="s">
        <v>111</v>
      </c>
      <c r="C19" s="216">
        <v>0</v>
      </c>
      <c r="D19" s="227">
        <v>0</v>
      </c>
      <c r="E19" s="248">
        <v>0</v>
      </c>
      <c r="F19" s="227">
        <v>0</v>
      </c>
      <c r="G19" s="254">
        <v>0</v>
      </c>
      <c r="H19" s="255">
        <v>0</v>
      </c>
      <c r="I19" s="248">
        <v>0</v>
      </c>
      <c r="J19" s="227">
        <v>0</v>
      </c>
      <c r="K19" s="216">
        <v>0</v>
      </c>
      <c r="L19" s="227">
        <v>56</v>
      </c>
      <c r="M19" s="248">
        <v>0</v>
      </c>
      <c r="N19" s="228">
        <v>0</v>
      </c>
      <c r="O19" s="254">
        <v>0</v>
      </c>
      <c r="P19" s="255">
        <v>56</v>
      </c>
      <c r="Q19" s="248">
        <v>0</v>
      </c>
      <c r="R19" s="228">
        <v>0</v>
      </c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3.5" thickBot="1">
      <c r="A20" s="106">
        <v>5</v>
      </c>
      <c r="B20" s="107" t="s">
        <v>40</v>
      </c>
      <c r="C20" s="250">
        <f aca="true" t="shared" si="5" ref="C20:R20">SUM(C16:C19)</f>
        <v>735.1138595910649</v>
      </c>
      <c r="D20" s="251">
        <f t="shared" si="5"/>
        <v>865.2566595910649</v>
      </c>
      <c r="E20" s="249">
        <f t="shared" si="5"/>
        <v>735.1138595910649</v>
      </c>
      <c r="F20" s="168">
        <f t="shared" si="5"/>
        <v>865.2566595910649</v>
      </c>
      <c r="G20" s="252">
        <f t="shared" si="5"/>
        <v>751.6926</v>
      </c>
      <c r="H20" s="253">
        <f t="shared" si="5"/>
        <v>881.8354</v>
      </c>
      <c r="I20" s="167">
        <f t="shared" si="5"/>
        <v>751.6926</v>
      </c>
      <c r="J20" s="168">
        <f t="shared" si="5"/>
        <v>881.8354</v>
      </c>
      <c r="K20" s="250">
        <f t="shared" si="5"/>
        <v>863.7438000000001</v>
      </c>
      <c r="L20" s="251">
        <f t="shared" si="5"/>
        <v>1049.8866</v>
      </c>
      <c r="M20" s="249">
        <f t="shared" si="5"/>
        <v>863.7438000000001</v>
      </c>
      <c r="N20" s="168">
        <f t="shared" si="5"/>
        <v>993.8866</v>
      </c>
      <c r="O20" s="252">
        <f t="shared" si="5"/>
        <v>863.7438000000001</v>
      </c>
      <c r="P20" s="253">
        <f t="shared" si="5"/>
        <v>1049.8866</v>
      </c>
      <c r="Q20" s="167">
        <f t="shared" si="5"/>
        <v>863.7438000000001</v>
      </c>
      <c r="R20" s="168">
        <f t="shared" si="5"/>
        <v>993.8866</v>
      </c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5" customHeight="1" thickBot="1">
      <c r="A21" s="171"/>
      <c r="B21" s="173" t="s">
        <v>41</v>
      </c>
      <c r="C21" s="174">
        <f aca="true" t="shared" si="6" ref="C21:R21">+C20-C14</f>
        <v>345.56085959106485</v>
      </c>
      <c r="D21" s="175">
        <f t="shared" si="6"/>
        <v>-30.56934040893509</v>
      </c>
      <c r="E21" s="174">
        <f t="shared" si="6"/>
        <v>87.3178595910648</v>
      </c>
      <c r="F21" s="170">
        <f t="shared" si="6"/>
        <v>-45.15934040893512</v>
      </c>
      <c r="G21" s="174">
        <f t="shared" si="6"/>
        <v>362.1396</v>
      </c>
      <c r="H21" s="170">
        <f t="shared" si="6"/>
        <v>-72.35059999999999</v>
      </c>
      <c r="I21" s="174">
        <f t="shared" si="6"/>
        <v>16.356599999999958</v>
      </c>
      <c r="J21" s="170">
        <f t="shared" si="6"/>
        <v>-57.760599999999954</v>
      </c>
      <c r="K21" s="174">
        <f t="shared" si="6"/>
        <v>430.4208000000001</v>
      </c>
      <c r="L21" s="175">
        <f t="shared" si="6"/>
        <v>101.53660000000002</v>
      </c>
      <c r="M21" s="174">
        <f t="shared" si="6"/>
        <v>17.52380000000005</v>
      </c>
      <c r="N21" s="175">
        <f t="shared" si="6"/>
        <v>30.94659999999999</v>
      </c>
      <c r="O21" s="174">
        <f t="shared" si="6"/>
        <v>445.0108000000001</v>
      </c>
      <c r="P21" s="175">
        <f t="shared" si="6"/>
        <v>130.71660000000008</v>
      </c>
      <c r="Q21" s="169">
        <f t="shared" si="6"/>
        <v>-11.656199999999899</v>
      </c>
      <c r="R21" s="175">
        <f t="shared" si="6"/>
        <v>60.12660000000005</v>
      </c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3.5" thickBot="1">
      <c r="A22" s="307" t="s">
        <v>42</v>
      </c>
      <c r="B22" s="308"/>
      <c r="C22" s="16"/>
      <c r="D22" s="25"/>
      <c r="E22" s="188"/>
      <c r="F22" s="190"/>
      <c r="G22" s="16"/>
      <c r="H22" s="25"/>
      <c r="I22" s="188"/>
      <c r="J22" s="190"/>
      <c r="K22" s="16"/>
      <c r="L22" s="25"/>
      <c r="M22" s="188"/>
      <c r="N22" s="190"/>
      <c r="O22" s="16"/>
      <c r="P22" s="25"/>
      <c r="Q22" s="188"/>
      <c r="R22" s="190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2.75">
      <c r="A23" s="101" t="s">
        <v>43</v>
      </c>
      <c r="B23" s="102" t="s">
        <v>44</v>
      </c>
      <c r="C23" s="185">
        <f aca="true" t="shared" si="7" ref="C23:R23">+C12*0.2724</f>
        <v>363.65399999999994</v>
      </c>
      <c r="D23" s="179">
        <f t="shared" si="7"/>
        <v>836.2679999999999</v>
      </c>
      <c r="E23" s="185">
        <f t="shared" si="7"/>
        <v>604.728</v>
      </c>
      <c r="F23" s="179">
        <f t="shared" si="7"/>
        <v>849.8879999999999</v>
      </c>
      <c r="G23" s="185">
        <f t="shared" si="7"/>
        <v>363.65399999999994</v>
      </c>
      <c r="H23" s="179">
        <f t="shared" si="7"/>
        <v>890.7479999999999</v>
      </c>
      <c r="I23" s="185">
        <f t="shared" si="7"/>
        <v>686.448</v>
      </c>
      <c r="J23" s="179">
        <f t="shared" si="7"/>
        <v>877.1279999999999</v>
      </c>
      <c r="K23" s="185">
        <f t="shared" si="7"/>
        <v>404.51399999999995</v>
      </c>
      <c r="L23" s="179">
        <f t="shared" si="7"/>
        <v>885.3</v>
      </c>
      <c r="M23" s="185">
        <f t="shared" si="7"/>
        <v>789.9599999999999</v>
      </c>
      <c r="N23" s="179">
        <f t="shared" si="7"/>
        <v>898.92</v>
      </c>
      <c r="O23" s="185">
        <f t="shared" si="7"/>
        <v>390.89399999999995</v>
      </c>
      <c r="P23" s="179">
        <f t="shared" si="7"/>
        <v>858.06</v>
      </c>
      <c r="Q23" s="185">
        <f t="shared" si="7"/>
        <v>817.1999999999999</v>
      </c>
      <c r="R23" s="179">
        <f t="shared" si="7"/>
        <v>871.68</v>
      </c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2.75">
      <c r="A24" s="17"/>
      <c r="B24" s="18" t="s">
        <v>45</v>
      </c>
      <c r="C24" s="166"/>
      <c r="D24" s="21"/>
      <c r="E24" s="166"/>
      <c r="F24" s="21"/>
      <c r="G24" s="166"/>
      <c r="H24" s="21"/>
      <c r="I24" s="166"/>
      <c r="J24" s="21"/>
      <c r="K24" s="166"/>
      <c r="L24" s="21"/>
      <c r="M24" s="166"/>
      <c r="N24" s="21"/>
      <c r="O24" s="166"/>
      <c r="P24" s="21"/>
      <c r="Q24" s="166"/>
      <c r="R24" s="21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2.75">
      <c r="A25" s="17">
        <v>1</v>
      </c>
      <c r="B25" s="20" t="s">
        <v>37</v>
      </c>
      <c r="C25" s="6">
        <f>('WINTER 2007-08 Detailed'!D28+'WINTER 2007-08 Detailed'!D32+'WINTER 2007-08 Detailed'!D35-'Discom Combined'!C17-'Discom Combined'!C26-'Discom Combined'!C35-'Discom Combined'!C45-'Discom Combined'!C49)*0.2724</f>
        <v>577.7197434040775</v>
      </c>
      <c r="D25" s="164">
        <f>('WINTER 2007-08 Detailed'!E28+'WINTER 2007-08 Detailed'!E32+'WINTER 2007-08 Detailed'!E35-'Discom Combined'!D17-'Discom Combined'!D26-'Discom Combined'!D35-'Discom Combined'!D45-'Discom Combined'!D49)*0.2724</f>
        <v>699.2101434040774</v>
      </c>
      <c r="E25" s="6">
        <f>('WINTER 2007-08 Detailed'!F28+'WINTER 2007-08 Detailed'!F32+'WINTER 2007-08 Detailed'!F35-'Discom Combined'!E17-'Discom Combined'!E26-'Discom Combined'!E35-'Discom Combined'!E45-'Discom Combined'!E49)*0.2724</f>
        <v>577.7197434040775</v>
      </c>
      <c r="F25" s="164">
        <f>('WINTER 2007-08 Detailed'!G28+'WINTER 2007-08 Detailed'!G32+'WINTER 2007-08 Detailed'!G35-'Discom Combined'!F17-'Discom Combined'!F26-'Discom Combined'!F35-'Discom Combined'!F45-'Discom Combined'!F49)*0.2724</f>
        <v>699.2101434040774</v>
      </c>
      <c r="G25" s="6">
        <f>('WINTER 2007-08 Detailed'!H28+'WINTER 2007-08 Detailed'!H32+'WINTER 2007-08 Detailed'!H35-'Discom Combined'!G17-'Discom Combined'!G26-'Discom Combined'!G35-'Discom Combined'!G45-'Discom Combined'!G49)*0.2724</f>
        <v>589.746</v>
      </c>
      <c r="H25" s="164">
        <f>('WINTER 2007-08 Detailed'!I28+'WINTER 2007-08 Detailed'!I32+'WINTER 2007-08 Detailed'!I35-'Discom Combined'!H17-'Discom Combined'!H26-'Discom Combined'!H35-'Discom Combined'!H45-'Discom Combined'!H49)*0.2724</f>
        <v>711.2363999999999</v>
      </c>
      <c r="I25" s="6">
        <f>('WINTER 2007-08 Detailed'!J28+'WINTER 2007-08 Detailed'!J32+'WINTER 2007-08 Detailed'!J35-'Discom Combined'!I17-'Discom Combined'!I26-'Discom Combined'!I35-'Discom Combined'!I45-'Discom Combined'!I49)*0.2724</f>
        <v>589.746</v>
      </c>
      <c r="J25" s="164">
        <f>('WINTER 2007-08 Detailed'!K28+'WINTER 2007-08 Detailed'!K32+'WINTER 2007-08 Detailed'!K35-'Discom Combined'!J17-'Discom Combined'!J26-'Discom Combined'!J35-'Discom Combined'!J45-'Discom Combined'!J49)*0.2724</f>
        <v>711.2363999999999</v>
      </c>
      <c r="K25" s="6">
        <f>('WINTER 2007-08 Detailed'!L28+'WINTER 2007-08 Detailed'!L32+'WINTER 2007-08 Detailed'!L35-'Discom Combined'!K17-'Discom Combined'!K26-'Discom Combined'!K35-'Discom Combined'!K45-'Discom Combined'!K49)*0.2724</f>
        <v>694.3475999999999</v>
      </c>
      <c r="L25" s="164">
        <f>('WINTER 2007-08 Detailed'!M28+'WINTER 2007-08 Detailed'!M32+'WINTER 2007-08 Detailed'!M35-'Discom Combined'!L17-'Discom Combined'!L26-'Discom Combined'!L35-'Discom Combined'!L45-'Discom Combined'!L49)*0.2724</f>
        <v>815.838</v>
      </c>
      <c r="M25" s="6">
        <f>('WINTER 2007-08 Detailed'!N28+'WINTER 2007-08 Detailed'!N32+'WINTER 2007-08 Detailed'!N35-'Discom Combined'!M17-'Discom Combined'!M26-'Discom Combined'!M35-'Discom Combined'!M45-'Discom Combined'!M49)*0.2724</f>
        <v>694.3475999999999</v>
      </c>
      <c r="N25" s="164">
        <f>('WINTER 2007-08 Detailed'!O28+'WINTER 2007-08 Detailed'!O32+'WINTER 2007-08 Detailed'!O35-'Discom Combined'!N17-'Discom Combined'!N26-'Discom Combined'!N35-'Discom Combined'!N45-'Discom Combined'!N49)*0.2724</f>
        <v>815.838</v>
      </c>
      <c r="O25" s="6">
        <f>('WINTER 2007-08 Detailed'!P28+'WINTER 2007-08 Detailed'!P32+'WINTER 2007-08 Detailed'!P35-'Discom Combined'!O17-'Discom Combined'!O26-'Discom Combined'!O35-'Discom Combined'!O45-'Discom Combined'!O49)*0.2724</f>
        <v>694.3475999999999</v>
      </c>
      <c r="P25" s="164">
        <f>('WINTER 2007-08 Detailed'!Q28+'WINTER 2007-08 Detailed'!Q32+'WINTER 2007-08 Detailed'!Q35-'Discom Combined'!P17-'Discom Combined'!P26-'Discom Combined'!P35-'Discom Combined'!P45-'Discom Combined'!P49)*0.2724</f>
        <v>815.838</v>
      </c>
      <c r="Q25" s="6">
        <f>('WINTER 2007-08 Detailed'!R28+'WINTER 2007-08 Detailed'!R32+'WINTER 2007-08 Detailed'!R35-'Discom Combined'!Q17-'Discom Combined'!Q26-'Discom Combined'!Q35-'Discom Combined'!Q45-'Discom Combined'!Q49)*0.2724</f>
        <v>694.3475999999999</v>
      </c>
      <c r="R25" s="164">
        <f>('WINTER 2007-08 Detailed'!S28+'WINTER 2007-08 Detailed'!S32+'WINTER 2007-08 Detailed'!S35-'Discom Combined'!R17-'Discom Combined'!R26-'Discom Combined'!R35-'Discom Combined'!R45-'Discom Combined'!R49)*0.2724</f>
        <v>815.838</v>
      </c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2.75">
      <c r="A26" s="17">
        <v>2</v>
      </c>
      <c r="B26" s="20" t="s">
        <v>38</v>
      </c>
      <c r="C26" s="166">
        <f>(266*((2393-95)/2393))*0.55</f>
        <v>140.492018386962</v>
      </c>
      <c r="D26" s="21">
        <f>(266*((2393-95)/2393))*0.55</f>
        <v>140.492018386962</v>
      </c>
      <c r="E26" s="166">
        <f>(266*((2393-95)/2393))*0.55</f>
        <v>140.492018386962</v>
      </c>
      <c r="F26" s="21">
        <f>(266*((2393-95)/2393))*0.55</f>
        <v>140.492018386962</v>
      </c>
      <c r="G26" s="166">
        <f aca="true" t="shared" si="8" ref="G26:R26">(266*((2393-0)/2393))*0.55</f>
        <v>146.3</v>
      </c>
      <c r="H26" s="21">
        <f t="shared" si="8"/>
        <v>146.3</v>
      </c>
      <c r="I26" s="166">
        <f t="shared" si="8"/>
        <v>146.3</v>
      </c>
      <c r="J26" s="21">
        <f t="shared" si="8"/>
        <v>146.3</v>
      </c>
      <c r="K26" s="166">
        <f t="shared" si="8"/>
        <v>146.3</v>
      </c>
      <c r="L26" s="21">
        <f t="shared" si="8"/>
        <v>146.3</v>
      </c>
      <c r="M26" s="166">
        <f t="shared" si="8"/>
        <v>146.3</v>
      </c>
      <c r="N26" s="21">
        <f t="shared" si="8"/>
        <v>146.3</v>
      </c>
      <c r="O26" s="166">
        <f t="shared" si="8"/>
        <v>146.3</v>
      </c>
      <c r="P26" s="21">
        <f t="shared" si="8"/>
        <v>146.3</v>
      </c>
      <c r="Q26" s="166">
        <f t="shared" si="8"/>
        <v>146.3</v>
      </c>
      <c r="R26" s="21">
        <f t="shared" si="8"/>
        <v>146.3</v>
      </c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2.75">
      <c r="A27" s="17">
        <v>3</v>
      </c>
      <c r="B27" s="22" t="s">
        <v>39</v>
      </c>
      <c r="C27" s="166">
        <f aca="true" t="shared" si="9" ref="C27:R27">92*0.2724</f>
        <v>25.060799999999997</v>
      </c>
      <c r="D27" s="21">
        <f t="shared" si="9"/>
        <v>25.060799999999997</v>
      </c>
      <c r="E27" s="166">
        <f t="shared" si="9"/>
        <v>25.060799999999997</v>
      </c>
      <c r="F27" s="21">
        <f t="shared" si="9"/>
        <v>25.060799999999997</v>
      </c>
      <c r="G27" s="166">
        <f t="shared" si="9"/>
        <v>25.060799999999997</v>
      </c>
      <c r="H27" s="21">
        <f t="shared" si="9"/>
        <v>25.060799999999997</v>
      </c>
      <c r="I27" s="166">
        <f t="shared" si="9"/>
        <v>25.060799999999997</v>
      </c>
      <c r="J27" s="21">
        <f t="shared" si="9"/>
        <v>25.060799999999997</v>
      </c>
      <c r="K27" s="166">
        <f t="shared" si="9"/>
        <v>25.060799999999997</v>
      </c>
      <c r="L27" s="21">
        <f t="shared" si="9"/>
        <v>25.060799999999997</v>
      </c>
      <c r="M27" s="166">
        <f t="shared" si="9"/>
        <v>25.060799999999997</v>
      </c>
      <c r="N27" s="21">
        <f t="shared" si="9"/>
        <v>25.060799999999997</v>
      </c>
      <c r="O27" s="166">
        <f t="shared" si="9"/>
        <v>25.060799999999997</v>
      </c>
      <c r="P27" s="21">
        <f t="shared" si="9"/>
        <v>25.060799999999997</v>
      </c>
      <c r="Q27" s="166">
        <f t="shared" si="9"/>
        <v>25.060799999999997</v>
      </c>
      <c r="R27" s="21">
        <f t="shared" si="9"/>
        <v>25.060799999999997</v>
      </c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2.75">
      <c r="A28" s="83">
        <v>4</v>
      </c>
      <c r="B28" s="78" t="s">
        <v>114</v>
      </c>
      <c r="C28" s="128">
        <v>0</v>
      </c>
      <c r="D28" s="129">
        <v>0</v>
      </c>
      <c r="E28" s="129">
        <v>0</v>
      </c>
      <c r="F28" s="130">
        <v>0</v>
      </c>
      <c r="G28" s="128">
        <v>0</v>
      </c>
      <c r="H28" s="129">
        <v>0</v>
      </c>
      <c r="I28" s="129">
        <v>0</v>
      </c>
      <c r="J28" s="130">
        <v>0</v>
      </c>
      <c r="K28" s="128">
        <v>-38</v>
      </c>
      <c r="L28" s="129">
        <v>-38</v>
      </c>
      <c r="M28" s="129">
        <v>-38</v>
      </c>
      <c r="N28" s="194">
        <v>-26</v>
      </c>
      <c r="O28" s="128">
        <v>-38</v>
      </c>
      <c r="P28" s="129">
        <v>-38</v>
      </c>
      <c r="Q28" s="129">
        <v>-38</v>
      </c>
      <c r="R28" s="194">
        <v>-26</v>
      </c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3.5" thickBot="1">
      <c r="A29" s="106">
        <v>5</v>
      </c>
      <c r="B29" s="107" t="s">
        <v>40</v>
      </c>
      <c r="C29" s="167">
        <f>SUM(C25:C28)</f>
        <v>743.2725617910394</v>
      </c>
      <c r="D29" s="167">
        <f aca="true" t="shared" si="10" ref="D29:R29">SUM(D25:D28)</f>
        <v>864.7629617910393</v>
      </c>
      <c r="E29" s="167">
        <f t="shared" si="10"/>
        <v>743.2725617910394</v>
      </c>
      <c r="F29" s="167">
        <f t="shared" si="10"/>
        <v>864.7629617910393</v>
      </c>
      <c r="G29" s="167">
        <f t="shared" si="10"/>
        <v>761.1068</v>
      </c>
      <c r="H29" s="167">
        <f t="shared" si="10"/>
        <v>882.5971999999999</v>
      </c>
      <c r="I29" s="167">
        <f t="shared" si="10"/>
        <v>761.1068</v>
      </c>
      <c r="J29" s="167">
        <f t="shared" si="10"/>
        <v>882.5971999999999</v>
      </c>
      <c r="K29" s="167">
        <f t="shared" si="10"/>
        <v>827.7084</v>
      </c>
      <c r="L29" s="167">
        <f t="shared" si="10"/>
        <v>949.1987999999999</v>
      </c>
      <c r="M29" s="167">
        <f t="shared" si="10"/>
        <v>827.7084</v>
      </c>
      <c r="N29" s="167">
        <f t="shared" si="10"/>
        <v>961.1987999999999</v>
      </c>
      <c r="O29" s="167">
        <f t="shared" si="10"/>
        <v>827.7084</v>
      </c>
      <c r="P29" s="167">
        <f t="shared" si="10"/>
        <v>949.1987999999999</v>
      </c>
      <c r="Q29" s="167">
        <f t="shared" si="10"/>
        <v>827.7084</v>
      </c>
      <c r="R29" s="167">
        <f t="shared" si="10"/>
        <v>961.1987999999999</v>
      </c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3.5" thickBot="1">
      <c r="A30" s="171"/>
      <c r="B30" s="173" t="s">
        <v>46</v>
      </c>
      <c r="C30" s="174">
        <f aca="true" t="shared" si="11" ref="C30:R30">+C29-C23</f>
        <v>379.61856179103944</v>
      </c>
      <c r="D30" s="175">
        <f t="shared" si="11"/>
        <v>28.494961791039373</v>
      </c>
      <c r="E30" s="174">
        <f t="shared" si="11"/>
        <v>138.54456179103943</v>
      </c>
      <c r="F30" s="175">
        <f t="shared" si="11"/>
        <v>14.874961791039368</v>
      </c>
      <c r="G30" s="174">
        <f t="shared" si="11"/>
        <v>397.4528000000001</v>
      </c>
      <c r="H30" s="170">
        <f t="shared" si="11"/>
        <v>-8.150800000000004</v>
      </c>
      <c r="I30" s="174">
        <f t="shared" si="11"/>
        <v>74.65880000000004</v>
      </c>
      <c r="J30" s="175">
        <f t="shared" si="11"/>
        <v>5.469200000000001</v>
      </c>
      <c r="K30" s="174">
        <f t="shared" si="11"/>
        <v>423.19440000000003</v>
      </c>
      <c r="L30" s="175">
        <f t="shared" si="11"/>
        <v>63.89879999999994</v>
      </c>
      <c r="M30" s="174">
        <f t="shared" si="11"/>
        <v>37.74840000000006</v>
      </c>
      <c r="N30" s="175">
        <f t="shared" si="11"/>
        <v>62.27879999999993</v>
      </c>
      <c r="O30" s="174">
        <f t="shared" si="11"/>
        <v>436.81440000000003</v>
      </c>
      <c r="P30" s="175">
        <f t="shared" si="11"/>
        <v>91.13879999999995</v>
      </c>
      <c r="Q30" s="174">
        <f t="shared" si="11"/>
        <v>10.508400000000051</v>
      </c>
      <c r="R30" s="175">
        <f t="shared" si="11"/>
        <v>89.51879999999994</v>
      </c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3.5" thickBot="1">
      <c r="A31" s="304" t="s">
        <v>47</v>
      </c>
      <c r="B31" s="306"/>
      <c r="C31" s="180"/>
      <c r="D31" s="27"/>
      <c r="E31" s="174"/>
      <c r="F31" s="175"/>
      <c r="G31" s="180"/>
      <c r="H31" s="27"/>
      <c r="I31" s="174"/>
      <c r="J31" s="175"/>
      <c r="K31" s="180"/>
      <c r="L31" s="27"/>
      <c r="M31" s="174"/>
      <c r="N31" s="175"/>
      <c r="O31" s="180"/>
      <c r="P31" s="27"/>
      <c r="Q31" s="174"/>
      <c r="R31" s="175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2.75">
      <c r="A32" s="104" t="s">
        <v>48</v>
      </c>
      <c r="B32" s="105" t="s">
        <v>49</v>
      </c>
      <c r="C32" s="270">
        <f aca="true" t="shared" si="12" ref="C32:R32">+C12*0.4358</f>
        <v>581.793</v>
      </c>
      <c r="D32" s="271">
        <f t="shared" si="12"/>
        <v>1337.9060000000002</v>
      </c>
      <c r="E32" s="269">
        <f t="shared" si="12"/>
        <v>967.476</v>
      </c>
      <c r="F32" s="179">
        <f t="shared" si="12"/>
        <v>1359.6960000000001</v>
      </c>
      <c r="G32" s="185">
        <f t="shared" si="12"/>
        <v>581.793</v>
      </c>
      <c r="H32" s="179">
        <f t="shared" si="12"/>
        <v>1425.066</v>
      </c>
      <c r="I32" s="185">
        <f t="shared" si="12"/>
        <v>1098.2160000000001</v>
      </c>
      <c r="J32" s="179">
        <f t="shared" si="12"/>
        <v>1403.276</v>
      </c>
      <c r="K32" s="185">
        <f t="shared" si="12"/>
        <v>647.163</v>
      </c>
      <c r="L32" s="179">
        <f t="shared" si="12"/>
        <v>1416.3500000000001</v>
      </c>
      <c r="M32" s="185">
        <f t="shared" si="12"/>
        <v>1263.8200000000002</v>
      </c>
      <c r="N32" s="179">
        <f t="shared" si="12"/>
        <v>1438.14</v>
      </c>
      <c r="O32" s="185">
        <f t="shared" si="12"/>
        <v>625.373</v>
      </c>
      <c r="P32" s="179">
        <f t="shared" si="12"/>
        <v>1372.77</v>
      </c>
      <c r="Q32" s="185">
        <f t="shared" si="12"/>
        <v>1307.4</v>
      </c>
      <c r="R32" s="179">
        <f t="shared" si="12"/>
        <v>1394.5600000000002</v>
      </c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2.75">
      <c r="A33" s="17"/>
      <c r="B33" s="18" t="s">
        <v>50</v>
      </c>
      <c r="C33" s="166"/>
      <c r="D33" s="21"/>
      <c r="E33" s="247"/>
      <c r="F33" s="21"/>
      <c r="G33" s="166"/>
      <c r="H33" s="21"/>
      <c r="I33" s="166"/>
      <c r="J33" s="21"/>
      <c r="K33" s="166"/>
      <c r="L33" s="21"/>
      <c r="M33" s="166"/>
      <c r="N33" s="21"/>
      <c r="O33" s="166"/>
      <c r="P33" s="21"/>
      <c r="Q33" s="166"/>
      <c r="R33" s="21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2.75">
      <c r="A34" s="17">
        <v>1</v>
      </c>
      <c r="B34" s="20" t="s">
        <v>37</v>
      </c>
      <c r="C34" s="6">
        <f>('WINTER 2007-08 Detailed'!D28+'WINTER 2007-08 Detailed'!D32+'WINTER 2007-08 Detailed'!D35-'Discom Combined'!C17-'Discom Combined'!C26-'Discom Combined'!C35-'Discom Combined'!C45-'Discom Combined'!C49)*0.4358</f>
        <v>924.2667554166555</v>
      </c>
      <c r="D34" s="164">
        <f>('WINTER 2007-08 Detailed'!E28+'WINTER 2007-08 Detailed'!E32+'WINTER 2007-08 Detailed'!E35-'Discom Combined'!D17-'Discom Combined'!D26-'Discom Combined'!D35-'Discom Combined'!D45-'Discom Combined'!D49)*0.4358</f>
        <v>1118.6335554166556</v>
      </c>
      <c r="E34" s="238">
        <f>('WINTER 2007-08 Detailed'!F28+'WINTER 2007-08 Detailed'!F32+'WINTER 2007-08 Detailed'!F35-'Discom Combined'!E17-'Discom Combined'!E26-'Discom Combined'!E35-'Discom Combined'!E45-'Discom Combined'!E49)*0.4358</f>
        <v>924.2667554166555</v>
      </c>
      <c r="F34" s="164">
        <f>('WINTER 2007-08 Detailed'!G28+'WINTER 2007-08 Detailed'!G32+'WINTER 2007-08 Detailed'!G35-'Discom Combined'!F17-'Discom Combined'!F26-'Discom Combined'!F35-'Discom Combined'!F45-'Discom Combined'!F49)*0.4358</f>
        <v>1118.6335554166556</v>
      </c>
      <c r="G34" s="6">
        <f>('WINTER 2007-08 Detailed'!H28+'WINTER 2007-08 Detailed'!H32+'WINTER 2007-08 Detailed'!H35-'Discom Combined'!G17-'Discom Combined'!G26-'Discom Combined'!G35-'Discom Combined'!G45-'Discom Combined'!G49)*0.4358</f>
        <v>943.5070000000001</v>
      </c>
      <c r="H34" s="164">
        <f>('WINTER 2007-08 Detailed'!I28+'WINTER 2007-08 Detailed'!I32+'WINTER 2007-08 Detailed'!I35-'Discom Combined'!H17-'Discom Combined'!H26-'Discom Combined'!H35-'Discom Combined'!H45-'Discom Combined'!H49)*0.4358</f>
        <v>1137.8738</v>
      </c>
      <c r="I34" s="6">
        <f>('WINTER 2007-08 Detailed'!J28+'WINTER 2007-08 Detailed'!J32+'WINTER 2007-08 Detailed'!J35-'Discom Combined'!I17-'Discom Combined'!I26-'Discom Combined'!I35-'Discom Combined'!I45-'Discom Combined'!I49)*0.4358</f>
        <v>943.5070000000001</v>
      </c>
      <c r="J34" s="164">
        <f>('WINTER 2007-08 Detailed'!K28+'WINTER 2007-08 Detailed'!K32+'WINTER 2007-08 Detailed'!K35-'Discom Combined'!J17-'Discom Combined'!J26-'Discom Combined'!J35-'Discom Combined'!J45-'Discom Combined'!J49)*0.4358</f>
        <v>1137.8738</v>
      </c>
      <c r="K34" s="6">
        <f>('WINTER 2007-08 Detailed'!L28+'WINTER 2007-08 Detailed'!L32+'WINTER 2007-08 Detailed'!L35-'Discom Combined'!K17-'Discom Combined'!K26-'Discom Combined'!K35-'Discom Combined'!K45-'Discom Combined'!K49)*0.4358</f>
        <v>1110.8542</v>
      </c>
      <c r="L34" s="164">
        <f>('WINTER 2007-08 Detailed'!M28+'WINTER 2007-08 Detailed'!M32+'WINTER 2007-08 Detailed'!M35-'Discom Combined'!L17-'Discom Combined'!L26-'Discom Combined'!L35-'Discom Combined'!L45-'Discom Combined'!L49)*0.4358</f>
        <v>1305.221</v>
      </c>
      <c r="M34" s="6">
        <f>('WINTER 2007-08 Detailed'!N28+'WINTER 2007-08 Detailed'!N32+'WINTER 2007-08 Detailed'!N35-'Discom Combined'!M17-'Discom Combined'!M26-'Discom Combined'!M35-'Discom Combined'!M45-'Discom Combined'!M49)*0.4358</f>
        <v>1110.8542</v>
      </c>
      <c r="N34" s="164">
        <f>('WINTER 2007-08 Detailed'!O28+'WINTER 2007-08 Detailed'!O32+'WINTER 2007-08 Detailed'!O35-'Discom Combined'!N17-'Discom Combined'!N26-'Discom Combined'!N35-'Discom Combined'!N45-'Discom Combined'!N49)*0.4358</f>
        <v>1305.221</v>
      </c>
      <c r="O34" s="6">
        <f>('WINTER 2007-08 Detailed'!P28+'WINTER 2007-08 Detailed'!P32+'WINTER 2007-08 Detailed'!P35-'Discom Combined'!O17-'Discom Combined'!O26-'Discom Combined'!O35-'Discom Combined'!O45-'Discom Combined'!O49)*0.4358</f>
        <v>1110.8542</v>
      </c>
      <c r="P34" s="164">
        <f>('WINTER 2007-08 Detailed'!Q28+'WINTER 2007-08 Detailed'!Q32+'WINTER 2007-08 Detailed'!Q35-'Discom Combined'!P17-'Discom Combined'!P26-'Discom Combined'!P35-'Discom Combined'!P45-'Discom Combined'!P49)*0.4358</f>
        <v>1305.221</v>
      </c>
      <c r="Q34" s="6">
        <f>('WINTER 2007-08 Detailed'!R28+'WINTER 2007-08 Detailed'!R32+'WINTER 2007-08 Detailed'!R35-'Discom Combined'!Q17-'Discom Combined'!Q26-'Discom Combined'!Q35-'Discom Combined'!Q45-'Discom Combined'!Q49)*0.4358</f>
        <v>1110.8542</v>
      </c>
      <c r="R34" s="164">
        <f>('WINTER 2007-08 Detailed'!S28+'WINTER 2007-08 Detailed'!S32+'WINTER 2007-08 Detailed'!S35-'Discom Combined'!R17-'Discom Combined'!R26-'Discom Combined'!R35-'Discom Combined'!R45-'Discom Combined'!R49)*0.4358</f>
        <v>1305.221</v>
      </c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2.75">
      <c r="A35" s="17">
        <v>2</v>
      </c>
      <c r="B35" s="20" t="s">
        <v>38</v>
      </c>
      <c r="C35" s="166">
        <f>(266*((2393-95)/2393))*0.1+C44</f>
        <v>70.27204567112634</v>
      </c>
      <c r="D35" s="21">
        <f>(266*((2393-95)/2393))*0.1+D44</f>
        <v>70.27204567112634</v>
      </c>
      <c r="E35" s="247">
        <f>(266*((2393-95)/2393))*0.1+E44</f>
        <v>70.27204567112634</v>
      </c>
      <c r="F35" s="21">
        <f>(266*((2393-95)/2393))*0.1+F44</f>
        <v>70.27204567112634</v>
      </c>
      <c r="G35" s="166">
        <f aca="true" t="shared" si="13" ref="G35:R35">(266*((2393-0)/2393))*0.1+G44</f>
        <v>73.6</v>
      </c>
      <c r="H35" s="21">
        <f t="shared" si="13"/>
        <v>73.6</v>
      </c>
      <c r="I35" s="166">
        <f t="shared" si="13"/>
        <v>73.6</v>
      </c>
      <c r="J35" s="21">
        <f t="shared" si="13"/>
        <v>73.6</v>
      </c>
      <c r="K35" s="166">
        <f t="shared" si="13"/>
        <v>73.6</v>
      </c>
      <c r="L35" s="21">
        <f t="shared" si="13"/>
        <v>73.6</v>
      </c>
      <c r="M35" s="166">
        <f t="shared" si="13"/>
        <v>73.6</v>
      </c>
      <c r="N35" s="21">
        <f t="shared" si="13"/>
        <v>73.6</v>
      </c>
      <c r="O35" s="166">
        <f t="shared" si="13"/>
        <v>73.6</v>
      </c>
      <c r="P35" s="21">
        <f t="shared" si="13"/>
        <v>73.6</v>
      </c>
      <c r="Q35" s="166">
        <f t="shared" si="13"/>
        <v>73.6</v>
      </c>
      <c r="R35" s="21">
        <f t="shared" si="13"/>
        <v>73.6</v>
      </c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2.75">
      <c r="A36" s="17">
        <v>3</v>
      </c>
      <c r="B36" s="22" t="s">
        <v>39</v>
      </c>
      <c r="C36" s="166">
        <f aca="true" t="shared" si="14" ref="C36:R36">92*0.4358</f>
        <v>40.0936</v>
      </c>
      <c r="D36" s="21">
        <f t="shared" si="14"/>
        <v>40.0936</v>
      </c>
      <c r="E36" s="247">
        <f t="shared" si="14"/>
        <v>40.0936</v>
      </c>
      <c r="F36" s="21">
        <f t="shared" si="14"/>
        <v>40.0936</v>
      </c>
      <c r="G36" s="166">
        <f t="shared" si="14"/>
        <v>40.0936</v>
      </c>
      <c r="H36" s="21">
        <f t="shared" si="14"/>
        <v>40.0936</v>
      </c>
      <c r="I36" s="166">
        <f t="shared" si="14"/>
        <v>40.0936</v>
      </c>
      <c r="J36" s="21">
        <f t="shared" si="14"/>
        <v>40.0936</v>
      </c>
      <c r="K36" s="166">
        <f t="shared" si="14"/>
        <v>40.0936</v>
      </c>
      <c r="L36" s="21">
        <f t="shared" si="14"/>
        <v>40.0936</v>
      </c>
      <c r="M36" s="166">
        <f t="shared" si="14"/>
        <v>40.0936</v>
      </c>
      <c r="N36" s="21">
        <f t="shared" si="14"/>
        <v>40.0936</v>
      </c>
      <c r="O36" s="166">
        <f t="shared" si="14"/>
        <v>40.0936</v>
      </c>
      <c r="P36" s="21">
        <f t="shared" si="14"/>
        <v>40.0936</v>
      </c>
      <c r="Q36" s="166">
        <f t="shared" si="14"/>
        <v>40.0936</v>
      </c>
      <c r="R36" s="21">
        <f t="shared" si="14"/>
        <v>40.0936</v>
      </c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2.75">
      <c r="A37" s="83">
        <v>4</v>
      </c>
      <c r="B37" s="78" t="s">
        <v>115</v>
      </c>
      <c r="C37" s="128">
        <v>0</v>
      </c>
      <c r="D37" s="130">
        <v>0</v>
      </c>
      <c r="E37" s="262">
        <v>0</v>
      </c>
      <c r="F37" s="130">
        <v>0</v>
      </c>
      <c r="G37" s="128">
        <v>0</v>
      </c>
      <c r="H37" s="129">
        <v>0</v>
      </c>
      <c r="I37" s="129">
        <v>0</v>
      </c>
      <c r="J37" s="130">
        <v>0</v>
      </c>
      <c r="K37" s="128">
        <v>-110</v>
      </c>
      <c r="L37" s="129">
        <v>-110</v>
      </c>
      <c r="M37" s="129">
        <v>-110</v>
      </c>
      <c r="N37" s="194">
        <v>-110</v>
      </c>
      <c r="O37" s="128">
        <v>-110</v>
      </c>
      <c r="P37" s="129">
        <v>-110</v>
      </c>
      <c r="Q37" s="129">
        <v>-110</v>
      </c>
      <c r="R37" s="194">
        <v>-110</v>
      </c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2.75">
      <c r="A38" s="83">
        <v>5</v>
      </c>
      <c r="B38" s="78" t="s">
        <v>113</v>
      </c>
      <c r="C38" s="128">
        <v>0</v>
      </c>
      <c r="D38" s="130">
        <v>0</v>
      </c>
      <c r="E38" s="262">
        <v>0</v>
      </c>
      <c r="F38" s="130">
        <v>0</v>
      </c>
      <c r="G38" s="128">
        <v>0</v>
      </c>
      <c r="H38" s="129">
        <v>0</v>
      </c>
      <c r="I38" s="129">
        <v>0</v>
      </c>
      <c r="J38" s="130">
        <v>0</v>
      </c>
      <c r="K38" s="128">
        <v>-17</v>
      </c>
      <c r="L38" s="129">
        <v>-17</v>
      </c>
      <c r="M38" s="129">
        <v>-17</v>
      </c>
      <c r="N38" s="194">
        <v>-13</v>
      </c>
      <c r="O38" s="128">
        <v>-17</v>
      </c>
      <c r="P38" s="129">
        <v>-17</v>
      </c>
      <c r="Q38" s="129">
        <v>-17</v>
      </c>
      <c r="R38" s="194">
        <v>-13</v>
      </c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3.5" thickBot="1">
      <c r="A39" s="106">
        <v>6</v>
      </c>
      <c r="B39" s="107" t="s">
        <v>40</v>
      </c>
      <c r="C39" s="167">
        <f>SUM(C34:C38)</f>
        <v>1034.6324010877818</v>
      </c>
      <c r="D39" s="167">
        <f aca="true" t="shared" si="15" ref="D39:R39">SUM(D34:D38)</f>
        <v>1228.9992010877818</v>
      </c>
      <c r="E39" s="167">
        <f t="shared" si="15"/>
        <v>1034.6324010877818</v>
      </c>
      <c r="F39" s="167">
        <f t="shared" si="15"/>
        <v>1228.9992010877818</v>
      </c>
      <c r="G39" s="167">
        <f t="shared" si="15"/>
        <v>1057.2006000000001</v>
      </c>
      <c r="H39" s="167">
        <f t="shared" si="15"/>
        <v>1251.5674</v>
      </c>
      <c r="I39" s="167">
        <f t="shared" si="15"/>
        <v>1057.2006000000001</v>
      </c>
      <c r="J39" s="167">
        <f t="shared" si="15"/>
        <v>1251.5674</v>
      </c>
      <c r="K39" s="167">
        <f t="shared" si="15"/>
        <v>1097.5477999999998</v>
      </c>
      <c r="L39" s="167">
        <f t="shared" si="15"/>
        <v>1291.9145999999998</v>
      </c>
      <c r="M39" s="167">
        <f t="shared" si="15"/>
        <v>1097.5477999999998</v>
      </c>
      <c r="N39" s="167">
        <f t="shared" si="15"/>
        <v>1295.9145999999998</v>
      </c>
      <c r="O39" s="167">
        <f t="shared" si="15"/>
        <v>1097.5477999999998</v>
      </c>
      <c r="P39" s="167">
        <f t="shared" si="15"/>
        <v>1291.9145999999998</v>
      </c>
      <c r="Q39" s="167">
        <f t="shared" si="15"/>
        <v>1097.5477999999998</v>
      </c>
      <c r="R39" s="167">
        <f t="shared" si="15"/>
        <v>1295.9145999999998</v>
      </c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3.5" thickBot="1">
      <c r="A40" s="171"/>
      <c r="B40" s="173" t="s">
        <v>51</v>
      </c>
      <c r="C40" s="174">
        <f aca="true" t="shared" si="16" ref="C40:R40">+C39-C32</f>
        <v>452.83940108778177</v>
      </c>
      <c r="D40" s="170">
        <f t="shared" si="16"/>
        <v>-108.90679891221839</v>
      </c>
      <c r="E40" s="272">
        <f t="shared" si="16"/>
        <v>67.15640108778177</v>
      </c>
      <c r="F40" s="170">
        <f t="shared" si="16"/>
        <v>-130.69679891221836</v>
      </c>
      <c r="G40" s="174">
        <f t="shared" si="16"/>
        <v>475.4076000000001</v>
      </c>
      <c r="H40" s="170">
        <f t="shared" si="16"/>
        <v>-173.49860000000012</v>
      </c>
      <c r="I40" s="169">
        <f t="shared" si="16"/>
        <v>-41.0154</v>
      </c>
      <c r="J40" s="170">
        <f t="shared" si="16"/>
        <v>-151.70860000000016</v>
      </c>
      <c r="K40" s="174">
        <f t="shared" si="16"/>
        <v>450.3847999999998</v>
      </c>
      <c r="L40" s="170">
        <f t="shared" si="16"/>
        <v>-124.4354000000003</v>
      </c>
      <c r="M40" s="169">
        <f t="shared" si="16"/>
        <v>-166.27220000000034</v>
      </c>
      <c r="N40" s="170">
        <f t="shared" si="16"/>
        <v>-142.22540000000026</v>
      </c>
      <c r="O40" s="174">
        <f t="shared" si="16"/>
        <v>472.1747999999998</v>
      </c>
      <c r="P40" s="175">
        <f t="shared" si="16"/>
        <v>-80.85540000000015</v>
      </c>
      <c r="Q40" s="169">
        <f t="shared" si="16"/>
        <v>-209.85220000000027</v>
      </c>
      <c r="R40" s="175">
        <f t="shared" si="16"/>
        <v>-98.64540000000034</v>
      </c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3.5" thickBot="1">
      <c r="A41" s="307" t="s">
        <v>52</v>
      </c>
      <c r="B41" s="308"/>
      <c r="C41" s="180"/>
      <c r="D41" s="27"/>
      <c r="E41" s="174"/>
      <c r="F41" s="175"/>
      <c r="G41" s="180"/>
      <c r="H41" s="27"/>
      <c r="I41" s="174"/>
      <c r="J41" s="175"/>
      <c r="K41" s="180"/>
      <c r="L41" s="27"/>
      <c r="M41" s="174"/>
      <c r="N41" s="175"/>
      <c r="O41" s="180"/>
      <c r="P41" s="27"/>
      <c r="Q41" s="174"/>
      <c r="R41" s="175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2.75">
      <c r="A42" s="104" t="s">
        <v>53</v>
      </c>
      <c r="B42" s="105" t="s">
        <v>54</v>
      </c>
      <c r="C42" s="183">
        <v>100</v>
      </c>
      <c r="D42" s="103">
        <v>200</v>
      </c>
      <c r="E42" s="183">
        <v>160</v>
      </c>
      <c r="F42" s="178">
        <v>150</v>
      </c>
      <c r="G42" s="183">
        <v>100</v>
      </c>
      <c r="H42" s="103">
        <v>200</v>
      </c>
      <c r="I42" s="183">
        <v>160</v>
      </c>
      <c r="J42" s="178">
        <v>150</v>
      </c>
      <c r="K42" s="183">
        <v>100</v>
      </c>
      <c r="L42" s="103">
        <v>220</v>
      </c>
      <c r="M42" s="183">
        <v>180</v>
      </c>
      <c r="N42" s="178">
        <v>170</v>
      </c>
      <c r="O42" s="183">
        <v>100</v>
      </c>
      <c r="P42" s="103">
        <v>220</v>
      </c>
      <c r="Q42" s="183">
        <v>180</v>
      </c>
      <c r="R42" s="178">
        <v>170</v>
      </c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2.75">
      <c r="A43" s="17"/>
      <c r="B43" s="20" t="s">
        <v>78</v>
      </c>
      <c r="C43" s="166">
        <f>+(((113*((705-95)/705)+(107*((840-0)/840))+(95*((330-0)/330)))))</f>
        <v>299.7730496453901</v>
      </c>
      <c r="D43" s="21">
        <f>+(((113*((705-95)/705)+(107*((840-0)/840))+(95*((330-0)/330)))))</f>
        <v>299.7730496453901</v>
      </c>
      <c r="E43" s="166">
        <f>+(((113*((705-95)/705)+(107*((840-0)/840))+(95*((330-0)/330)))))</f>
        <v>299.7730496453901</v>
      </c>
      <c r="F43" s="21">
        <f>+(((113*((705-95)/705)+(107*((840-0)/840))+(95*((330-0)/330)))))</f>
        <v>299.7730496453901</v>
      </c>
      <c r="G43" s="166">
        <f aca="true" t="shared" si="17" ref="G43:R43">+(((113*((705-0)/705)+(107*((840-0)/840))+(95*((330-0)/330)))))</f>
        <v>315</v>
      </c>
      <c r="H43" s="21">
        <f t="shared" si="17"/>
        <v>315</v>
      </c>
      <c r="I43" s="166">
        <f t="shared" si="17"/>
        <v>315</v>
      </c>
      <c r="J43" s="21">
        <f t="shared" si="17"/>
        <v>315</v>
      </c>
      <c r="K43" s="166">
        <f t="shared" si="17"/>
        <v>315</v>
      </c>
      <c r="L43" s="21">
        <f t="shared" si="17"/>
        <v>315</v>
      </c>
      <c r="M43" s="166">
        <f t="shared" si="17"/>
        <v>315</v>
      </c>
      <c r="N43" s="21">
        <f t="shared" si="17"/>
        <v>315</v>
      </c>
      <c r="O43" s="166">
        <f t="shared" si="17"/>
        <v>315</v>
      </c>
      <c r="P43" s="21">
        <f t="shared" si="17"/>
        <v>315</v>
      </c>
      <c r="Q43" s="166">
        <f t="shared" si="17"/>
        <v>315</v>
      </c>
      <c r="R43" s="21">
        <f t="shared" si="17"/>
        <v>315</v>
      </c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2.75">
      <c r="A44" s="83"/>
      <c r="B44" s="84" t="s">
        <v>79</v>
      </c>
      <c r="C44" s="166">
        <f aca="true" t="shared" si="18" ref="C44:R44">47*C43/315</f>
        <v>44.72804232804233</v>
      </c>
      <c r="D44" s="21">
        <f t="shared" si="18"/>
        <v>44.72804232804233</v>
      </c>
      <c r="E44" s="166">
        <f t="shared" si="18"/>
        <v>44.72804232804233</v>
      </c>
      <c r="F44" s="21">
        <f t="shared" si="18"/>
        <v>44.72804232804233</v>
      </c>
      <c r="G44" s="166">
        <f t="shared" si="18"/>
        <v>47</v>
      </c>
      <c r="H44" s="21">
        <f t="shared" si="18"/>
        <v>47</v>
      </c>
      <c r="I44" s="166">
        <f t="shared" si="18"/>
        <v>47</v>
      </c>
      <c r="J44" s="21">
        <f t="shared" si="18"/>
        <v>47</v>
      </c>
      <c r="K44" s="166">
        <f t="shared" si="18"/>
        <v>47</v>
      </c>
      <c r="L44" s="21">
        <f t="shared" si="18"/>
        <v>47</v>
      </c>
      <c r="M44" s="166">
        <f t="shared" si="18"/>
        <v>47</v>
      </c>
      <c r="N44" s="21">
        <f t="shared" si="18"/>
        <v>47</v>
      </c>
      <c r="O44" s="166">
        <f t="shared" si="18"/>
        <v>47</v>
      </c>
      <c r="P44" s="21">
        <f t="shared" si="18"/>
        <v>47</v>
      </c>
      <c r="Q44" s="166">
        <f t="shared" si="18"/>
        <v>47</v>
      </c>
      <c r="R44" s="21">
        <f t="shared" si="18"/>
        <v>47</v>
      </c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3.5" thickBot="1">
      <c r="A45" s="106"/>
      <c r="B45" s="107" t="s">
        <v>80</v>
      </c>
      <c r="C45" s="167">
        <f aca="true" t="shared" si="19" ref="C45:R45">+C43-C44</f>
        <v>255.04500731734774</v>
      </c>
      <c r="D45" s="168">
        <f t="shared" si="19"/>
        <v>255.04500731734774</v>
      </c>
      <c r="E45" s="167">
        <f t="shared" si="19"/>
        <v>255.04500731734774</v>
      </c>
      <c r="F45" s="168">
        <f t="shared" si="19"/>
        <v>255.04500731734774</v>
      </c>
      <c r="G45" s="167">
        <f t="shared" si="19"/>
        <v>268</v>
      </c>
      <c r="H45" s="168">
        <f t="shared" si="19"/>
        <v>268</v>
      </c>
      <c r="I45" s="167">
        <f t="shared" si="19"/>
        <v>268</v>
      </c>
      <c r="J45" s="168">
        <f t="shared" si="19"/>
        <v>268</v>
      </c>
      <c r="K45" s="167">
        <f t="shared" si="19"/>
        <v>268</v>
      </c>
      <c r="L45" s="168">
        <f t="shared" si="19"/>
        <v>268</v>
      </c>
      <c r="M45" s="167">
        <f t="shared" si="19"/>
        <v>268</v>
      </c>
      <c r="N45" s="168">
        <f t="shared" si="19"/>
        <v>268</v>
      </c>
      <c r="O45" s="167">
        <f t="shared" si="19"/>
        <v>268</v>
      </c>
      <c r="P45" s="168">
        <f t="shared" si="19"/>
        <v>268</v>
      </c>
      <c r="Q45" s="167">
        <f t="shared" si="19"/>
        <v>268</v>
      </c>
      <c r="R45" s="168">
        <f t="shared" si="19"/>
        <v>268</v>
      </c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3.5" thickBot="1">
      <c r="A46" s="171"/>
      <c r="B46" s="173" t="s">
        <v>55</v>
      </c>
      <c r="C46" s="174">
        <f aca="true" t="shared" si="20" ref="C46:R46">+C45-C42</f>
        <v>155.04500731734774</v>
      </c>
      <c r="D46" s="175">
        <f t="shared" si="20"/>
        <v>55.04500731734774</v>
      </c>
      <c r="E46" s="174">
        <f t="shared" si="20"/>
        <v>95.04500731734774</v>
      </c>
      <c r="F46" s="175">
        <f t="shared" si="20"/>
        <v>105.04500731734774</v>
      </c>
      <c r="G46" s="174">
        <f t="shared" si="20"/>
        <v>168</v>
      </c>
      <c r="H46" s="175">
        <f t="shared" si="20"/>
        <v>68</v>
      </c>
      <c r="I46" s="174">
        <f t="shared" si="20"/>
        <v>108</v>
      </c>
      <c r="J46" s="175">
        <f t="shared" si="20"/>
        <v>118</v>
      </c>
      <c r="K46" s="174">
        <f t="shared" si="20"/>
        <v>168</v>
      </c>
      <c r="L46" s="175">
        <f t="shared" si="20"/>
        <v>48</v>
      </c>
      <c r="M46" s="174">
        <f t="shared" si="20"/>
        <v>88</v>
      </c>
      <c r="N46" s="175">
        <f t="shared" si="20"/>
        <v>98</v>
      </c>
      <c r="O46" s="174">
        <f t="shared" si="20"/>
        <v>168</v>
      </c>
      <c r="P46" s="175">
        <f t="shared" si="20"/>
        <v>48</v>
      </c>
      <c r="Q46" s="174">
        <f t="shared" si="20"/>
        <v>88</v>
      </c>
      <c r="R46" s="175">
        <f t="shared" si="20"/>
        <v>98</v>
      </c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3.5" thickBot="1">
      <c r="A47" s="307" t="s">
        <v>56</v>
      </c>
      <c r="B47" s="308"/>
      <c r="C47" s="180"/>
      <c r="D47" s="27"/>
      <c r="E47" s="174"/>
      <c r="F47" s="175"/>
      <c r="G47" s="180"/>
      <c r="H47" s="27"/>
      <c r="I47" s="174"/>
      <c r="J47" s="175"/>
      <c r="K47" s="180"/>
      <c r="L47" s="27"/>
      <c r="M47" s="174"/>
      <c r="N47" s="175"/>
      <c r="O47" s="180"/>
      <c r="P47" s="27"/>
      <c r="Q47" s="174"/>
      <c r="R47" s="175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2.75">
      <c r="A48" s="104" t="s">
        <v>57</v>
      </c>
      <c r="B48" s="105" t="s">
        <v>58</v>
      </c>
      <c r="C48" s="183">
        <v>15</v>
      </c>
      <c r="D48" s="103">
        <v>30</v>
      </c>
      <c r="E48" s="183">
        <v>20</v>
      </c>
      <c r="F48" s="178">
        <v>30</v>
      </c>
      <c r="G48" s="183">
        <v>15</v>
      </c>
      <c r="H48" s="103">
        <v>30</v>
      </c>
      <c r="I48" s="183">
        <v>20</v>
      </c>
      <c r="J48" s="178">
        <v>30</v>
      </c>
      <c r="K48" s="183">
        <v>15</v>
      </c>
      <c r="L48" s="103">
        <v>30</v>
      </c>
      <c r="M48" s="183">
        <v>20</v>
      </c>
      <c r="N48" s="178">
        <v>30</v>
      </c>
      <c r="O48" s="183">
        <v>15</v>
      </c>
      <c r="P48" s="103">
        <v>30</v>
      </c>
      <c r="Q48" s="183">
        <v>20</v>
      </c>
      <c r="R48" s="178">
        <v>30</v>
      </c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3.5" thickBot="1">
      <c r="A49" s="106"/>
      <c r="B49" s="107" t="s">
        <v>59</v>
      </c>
      <c r="C49" s="167">
        <f>+(45*((705-95)/705))</f>
        <v>38.93617021276596</v>
      </c>
      <c r="D49" s="168">
        <f>+(45*((705-95)/705))</f>
        <v>38.93617021276596</v>
      </c>
      <c r="E49" s="167">
        <f>+(45*((705-95)/705))</f>
        <v>38.93617021276596</v>
      </c>
      <c r="F49" s="168">
        <f>+(45*((705-95)/705))</f>
        <v>38.93617021276596</v>
      </c>
      <c r="G49" s="167">
        <f aca="true" t="shared" si="21" ref="G49:R49">+(45*((705-0)/705))</f>
        <v>45</v>
      </c>
      <c r="H49" s="168">
        <f t="shared" si="21"/>
        <v>45</v>
      </c>
      <c r="I49" s="167">
        <f t="shared" si="21"/>
        <v>45</v>
      </c>
      <c r="J49" s="168">
        <f t="shared" si="21"/>
        <v>45</v>
      </c>
      <c r="K49" s="167">
        <f t="shared" si="21"/>
        <v>45</v>
      </c>
      <c r="L49" s="168">
        <f t="shared" si="21"/>
        <v>45</v>
      </c>
      <c r="M49" s="167">
        <f t="shared" si="21"/>
        <v>45</v>
      </c>
      <c r="N49" s="168">
        <f t="shared" si="21"/>
        <v>45</v>
      </c>
      <c r="O49" s="167">
        <f t="shared" si="21"/>
        <v>45</v>
      </c>
      <c r="P49" s="168">
        <f t="shared" si="21"/>
        <v>45</v>
      </c>
      <c r="Q49" s="167">
        <f t="shared" si="21"/>
        <v>45</v>
      </c>
      <c r="R49" s="168">
        <f t="shared" si="21"/>
        <v>45</v>
      </c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3.5" thickBot="1">
      <c r="A50" s="171"/>
      <c r="B50" s="172" t="s">
        <v>60</v>
      </c>
      <c r="C50" s="174">
        <f aca="true" t="shared" si="22" ref="C50:R50">+C49-C48</f>
        <v>23.93617021276596</v>
      </c>
      <c r="D50" s="175">
        <f t="shared" si="22"/>
        <v>8.936170212765958</v>
      </c>
      <c r="E50" s="174">
        <f t="shared" si="22"/>
        <v>18.93617021276596</v>
      </c>
      <c r="F50" s="175">
        <f t="shared" si="22"/>
        <v>8.936170212765958</v>
      </c>
      <c r="G50" s="174">
        <f t="shared" si="22"/>
        <v>30</v>
      </c>
      <c r="H50" s="175">
        <f t="shared" si="22"/>
        <v>15</v>
      </c>
      <c r="I50" s="174">
        <f t="shared" si="22"/>
        <v>25</v>
      </c>
      <c r="J50" s="175">
        <f t="shared" si="22"/>
        <v>15</v>
      </c>
      <c r="K50" s="174">
        <f t="shared" si="22"/>
        <v>30</v>
      </c>
      <c r="L50" s="175">
        <f t="shared" si="22"/>
        <v>15</v>
      </c>
      <c r="M50" s="174">
        <f t="shared" si="22"/>
        <v>25</v>
      </c>
      <c r="N50" s="175">
        <f t="shared" si="22"/>
        <v>15</v>
      </c>
      <c r="O50" s="174">
        <f t="shared" si="22"/>
        <v>30</v>
      </c>
      <c r="P50" s="175">
        <f t="shared" si="22"/>
        <v>15</v>
      </c>
      <c r="Q50" s="174">
        <f t="shared" si="22"/>
        <v>25</v>
      </c>
      <c r="R50" s="175">
        <f t="shared" si="22"/>
        <v>15</v>
      </c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6.5" thickBot="1">
      <c r="A51" s="114"/>
      <c r="B51" s="115" t="s">
        <v>61</v>
      </c>
      <c r="C51" s="181">
        <f aca="true" t="shared" si="23" ref="C51:R51">+C50+C46+C40+C30+C21</f>
        <v>1356.9999999999998</v>
      </c>
      <c r="D51" s="192">
        <f t="shared" si="23"/>
        <v>-47.00000000000041</v>
      </c>
      <c r="E51" s="181">
        <f t="shared" si="23"/>
        <v>406.9999999999997</v>
      </c>
      <c r="F51" s="192">
        <f t="shared" si="23"/>
        <v>-47.00000000000041</v>
      </c>
      <c r="G51" s="181">
        <f t="shared" si="23"/>
        <v>1433.0000000000002</v>
      </c>
      <c r="H51" s="192">
        <f t="shared" si="23"/>
        <v>-171.0000000000001</v>
      </c>
      <c r="I51" s="181">
        <f t="shared" si="23"/>
        <v>183</v>
      </c>
      <c r="J51" s="192">
        <f t="shared" si="23"/>
        <v>-71.00000000000011</v>
      </c>
      <c r="K51" s="181">
        <f t="shared" si="23"/>
        <v>1502</v>
      </c>
      <c r="L51" s="182">
        <f t="shared" si="23"/>
        <v>103.99999999999966</v>
      </c>
      <c r="M51" s="181">
        <f t="shared" si="23"/>
        <v>1.9999999999997726</v>
      </c>
      <c r="N51" s="182">
        <f t="shared" si="23"/>
        <v>63.99999999999966</v>
      </c>
      <c r="O51" s="181">
        <f t="shared" si="23"/>
        <v>1551.9999999999998</v>
      </c>
      <c r="P51" s="182">
        <f t="shared" si="23"/>
        <v>203.9999999999999</v>
      </c>
      <c r="Q51" s="181">
        <f t="shared" si="23"/>
        <v>-98.00000000000011</v>
      </c>
      <c r="R51" s="182">
        <f t="shared" si="23"/>
        <v>163.99999999999966</v>
      </c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2.75">
      <c r="A52" s="54"/>
      <c r="B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2.75">
      <c r="A53" s="54"/>
      <c r="B53" s="55"/>
      <c r="D53" s="5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2.75">
      <c r="A54" s="5"/>
      <c r="B54" s="56"/>
      <c r="D54" s="56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2.75">
      <c r="A55" s="5"/>
      <c r="B55" s="56"/>
      <c r="D55" s="56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2.75">
      <c r="A56" s="54"/>
      <c r="B56" s="56"/>
      <c r="D56" s="56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2.75">
      <c r="A57" s="54"/>
      <c r="B57" s="56"/>
      <c r="C57" s="56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2.75">
      <c r="A58" s="54"/>
      <c r="B58" s="56"/>
      <c r="C58" s="56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2.75">
      <c r="A59" s="54"/>
      <c r="B59" s="56"/>
      <c r="C59" s="56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2.75">
      <c r="A60" s="54"/>
      <c r="B60" s="56"/>
      <c r="C60" s="56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2.75">
      <c r="A61" s="54"/>
      <c r="B61" s="56"/>
      <c r="C61" s="56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4:5" ht="18">
      <c r="D62" s="79" t="s">
        <v>0</v>
      </c>
      <c r="E62" s="79"/>
    </row>
    <row r="63" spans="2:3" ht="15">
      <c r="B63" s="80" t="s">
        <v>83</v>
      </c>
      <c r="C63" s="80"/>
    </row>
    <row r="64" s="31" customFormat="1" ht="12">
      <c r="A64" s="32"/>
    </row>
    <row r="65" spans="2:3" ht="15.75">
      <c r="B65" s="7" t="s">
        <v>81</v>
      </c>
      <c r="C65" s="7"/>
    </row>
    <row r="66" spans="1:21" ht="12.75">
      <c r="A66" s="87" t="s">
        <v>82</v>
      </c>
      <c r="T66" s="87"/>
      <c r="U66" s="87"/>
    </row>
    <row r="67" spans="1:21" ht="12.75">
      <c r="A67" s="87"/>
      <c r="T67" s="87"/>
      <c r="U67" s="87"/>
    </row>
    <row r="68" spans="1:34" s="8" customFormat="1" ht="15" customHeight="1" thickBot="1">
      <c r="A68" s="9" t="s">
        <v>32</v>
      </c>
      <c r="D68" s="88"/>
      <c r="E68" s="88"/>
      <c r="N68" s="89"/>
      <c r="O68" s="89"/>
      <c r="P68" s="91" t="s">
        <v>119</v>
      </c>
      <c r="W68" s="91"/>
      <c r="X68" s="88"/>
      <c r="Y68" s="88"/>
      <c r="AG68" s="90"/>
      <c r="AH68" s="89"/>
    </row>
    <row r="69" spans="1:18" ht="13.5" customHeight="1" thickBot="1">
      <c r="A69" s="33" t="s">
        <v>1</v>
      </c>
      <c r="B69" s="2"/>
      <c r="C69" s="280" t="s">
        <v>65</v>
      </c>
      <c r="D69" s="281"/>
      <c r="E69" s="281"/>
      <c r="F69" s="281"/>
      <c r="G69" s="281"/>
      <c r="H69" s="281"/>
      <c r="I69" s="281"/>
      <c r="J69" s="282"/>
      <c r="K69" s="300" t="s">
        <v>66</v>
      </c>
      <c r="L69" s="281"/>
      <c r="M69" s="281"/>
      <c r="N69" s="281"/>
      <c r="O69" s="281"/>
      <c r="P69" s="281"/>
      <c r="Q69" s="281"/>
      <c r="R69" s="282"/>
    </row>
    <row r="70" spans="1:18" ht="13.5" customHeight="1" thickBot="1">
      <c r="A70" s="34" t="s">
        <v>3</v>
      </c>
      <c r="B70" s="35" t="s">
        <v>2</v>
      </c>
      <c r="C70" s="301" t="s">
        <v>31</v>
      </c>
      <c r="D70" s="281"/>
      <c r="E70" s="281"/>
      <c r="F70" s="282"/>
      <c r="G70" s="301" t="s">
        <v>30</v>
      </c>
      <c r="H70" s="281"/>
      <c r="I70" s="281"/>
      <c r="J70" s="282"/>
      <c r="K70" s="301" t="s">
        <v>29</v>
      </c>
      <c r="L70" s="281"/>
      <c r="M70" s="281"/>
      <c r="N70" s="282"/>
      <c r="O70" s="301" t="s">
        <v>30</v>
      </c>
      <c r="P70" s="281"/>
      <c r="Q70" s="281"/>
      <c r="R70" s="282"/>
    </row>
    <row r="71" spans="1:18" ht="23.25" thickBot="1">
      <c r="A71" s="36"/>
      <c r="B71" s="37"/>
      <c r="C71" s="186" t="s">
        <v>85</v>
      </c>
      <c r="D71" s="187" t="s">
        <v>86</v>
      </c>
      <c r="E71" s="241" t="s">
        <v>87</v>
      </c>
      <c r="F71" s="187" t="s">
        <v>88</v>
      </c>
      <c r="G71" s="186" t="s">
        <v>85</v>
      </c>
      <c r="H71" s="187" t="s">
        <v>86</v>
      </c>
      <c r="I71" s="186" t="s">
        <v>87</v>
      </c>
      <c r="J71" s="187" t="s">
        <v>88</v>
      </c>
      <c r="K71" s="186" t="s">
        <v>85</v>
      </c>
      <c r="L71" s="187" t="s">
        <v>86</v>
      </c>
      <c r="M71" s="186" t="s">
        <v>87</v>
      </c>
      <c r="N71" s="187" t="s">
        <v>88</v>
      </c>
      <c r="O71" s="186" t="s">
        <v>85</v>
      </c>
      <c r="P71" s="187" t="s">
        <v>86</v>
      </c>
      <c r="Q71" s="186" t="s">
        <v>87</v>
      </c>
      <c r="R71" s="187" t="s">
        <v>88</v>
      </c>
    </row>
    <row r="72" spans="1:18" s="1" customFormat="1" ht="32.25" customHeight="1" thickBot="1">
      <c r="A72" s="12" t="s">
        <v>5</v>
      </c>
      <c r="B72" s="13" t="s">
        <v>103</v>
      </c>
      <c r="C72" s="191">
        <f>+'WINTER 2007-08 Detailed'!D71</f>
        <v>1550</v>
      </c>
      <c r="D72" s="239">
        <f>+'WINTER 2007-08 Detailed'!E71</f>
        <v>3300</v>
      </c>
      <c r="E72" s="242">
        <f>+'WINTER 2007-08 Detailed'!F71</f>
        <v>2600</v>
      </c>
      <c r="F72" s="191">
        <f>+'WINTER 2007-08 Detailed'!G71</f>
        <v>3300</v>
      </c>
      <c r="G72" s="191">
        <f>+'WINTER 2007-08 Detailed'!H71</f>
        <v>1550</v>
      </c>
      <c r="H72" s="191">
        <f>+'WINTER 2007-08 Detailed'!I71</f>
        <v>3100</v>
      </c>
      <c r="I72" s="191">
        <f>+'WINTER 2007-08 Detailed'!J71</f>
        <v>2700</v>
      </c>
      <c r="J72" s="191">
        <f>+'WINTER 2007-08 Detailed'!K71</f>
        <v>2850</v>
      </c>
      <c r="K72" s="191">
        <f>+'WINTER 2007-08 Detailed'!L71</f>
        <v>1600</v>
      </c>
      <c r="L72" s="191">
        <f>+'WINTER 2007-08 Detailed'!M71</f>
        <v>2800</v>
      </c>
      <c r="M72" s="191">
        <f>+'WINTER 2007-08 Detailed'!N71</f>
        <v>2600</v>
      </c>
      <c r="N72" s="191">
        <f>+'WINTER 2007-08 Detailed'!O71</f>
        <v>2900</v>
      </c>
      <c r="O72" s="191">
        <f>+'WINTER 2007-08 Detailed'!P71</f>
        <v>1850</v>
      </c>
      <c r="P72" s="191">
        <f>+'WINTER 2007-08 Detailed'!Q71</f>
        <v>2700</v>
      </c>
      <c r="Q72" s="191">
        <f>+'WINTER 2007-08 Detailed'!R71</f>
        <v>2700</v>
      </c>
      <c r="R72" s="239">
        <f>+'WINTER 2007-08 Detailed'!S71</f>
        <v>3500</v>
      </c>
    </row>
    <row r="73" spans="1:18" ht="13.5" thickBot="1">
      <c r="A73" s="14" t="s">
        <v>6</v>
      </c>
      <c r="B73" s="81" t="s">
        <v>77</v>
      </c>
      <c r="C73" s="174">
        <f aca="true" t="shared" si="24" ref="C73:R73">+C72-C102-C108</f>
        <v>1435</v>
      </c>
      <c r="D73" s="175">
        <f t="shared" si="24"/>
        <v>3050</v>
      </c>
      <c r="E73" s="243">
        <f t="shared" si="24"/>
        <v>2400</v>
      </c>
      <c r="F73" s="175">
        <f t="shared" si="24"/>
        <v>3110</v>
      </c>
      <c r="G73" s="174">
        <f t="shared" si="24"/>
        <v>1435</v>
      </c>
      <c r="H73" s="175">
        <f t="shared" si="24"/>
        <v>2850</v>
      </c>
      <c r="I73" s="174">
        <f t="shared" si="24"/>
        <v>2500</v>
      </c>
      <c r="J73" s="175">
        <f t="shared" si="24"/>
        <v>2660</v>
      </c>
      <c r="K73" s="174">
        <f t="shared" si="24"/>
        <v>1485</v>
      </c>
      <c r="L73" s="175">
        <f t="shared" si="24"/>
        <v>2550</v>
      </c>
      <c r="M73" s="174">
        <f t="shared" si="24"/>
        <v>2380</v>
      </c>
      <c r="N73" s="175">
        <f t="shared" si="24"/>
        <v>2700</v>
      </c>
      <c r="O73" s="174">
        <f t="shared" si="24"/>
        <v>1735</v>
      </c>
      <c r="P73" s="175">
        <f t="shared" si="24"/>
        <v>2450</v>
      </c>
      <c r="Q73" s="174">
        <f t="shared" si="24"/>
        <v>2480</v>
      </c>
      <c r="R73" s="175">
        <f t="shared" si="24"/>
        <v>3300</v>
      </c>
    </row>
    <row r="74" spans="1:18" ht="13.5" customHeight="1" thickBot="1">
      <c r="A74" s="304" t="s">
        <v>33</v>
      </c>
      <c r="B74" s="305"/>
      <c r="C74" s="184"/>
      <c r="D74" s="25"/>
      <c r="E74" s="244"/>
      <c r="F74" s="189"/>
      <c r="G74" s="184"/>
      <c r="H74" s="25"/>
      <c r="I74" s="188"/>
      <c r="J74" s="189"/>
      <c r="K74" s="184"/>
      <c r="L74" s="25"/>
      <c r="M74" s="188"/>
      <c r="N74" s="189"/>
      <c r="O74" s="184"/>
      <c r="P74" s="25"/>
      <c r="Q74" s="188"/>
      <c r="R74" s="189"/>
    </row>
    <row r="75" spans="1:18" s="98" customFormat="1" ht="12.75">
      <c r="A75" s="101" t="s">
        <v>34</v>
      </c>
      <c r="B75" s="102" t="s">
        <v>35</v>
      </c>
      <c r="C75" s="183">
        <f>+C73*0.2918</f>
        <v>418.733</v>
      </c>
      <c r="D75" s="103">
        <f aca="true" t="shared" si="25" ref="D75:R75">+D73*0.2918</f>
        <v>889.99</v>
      </c>
      <c r="E75" s="245">
        <f>+E73*0.2918</f>
        <v>700.32</v>
      </c>
      <c r="F75" s="103">
        <f t="shared" si="25"/>
        <v>907.498</v>
      </c>
      <c r="G75" s="183">
        <f>+G73*0.2918</f>
        <v>418.733</v>
      </c>
      <c r="H75" s="103">
        <f t="shared" si="25"/>
        <v>831.63</v>
      </c>
      <c r="I75" s="183">
        <f>+I73*0.2918</f>
        <v>729.5</v>
      </c>
      <c r="J75" s="103">
        <f t="shared" si="25"/>
        <v>776.188</v>
      </c>
      <c r="K75" s="183">
        <f>+K73*0.2918</f>
        <v>433.323</v>
      </c>
      <c r="L75" s="103">
        <f t="shared" si="25"/>
        <v>744.09</v>
      </c>
      <c r="M75" s="183">
        <f>+M73*0.2918</f>
        <v>694.484</v>
      </c>
      <c r="N75" s="103">
        <f t="shared" si="25"/>
        <v>787.86</v>
      </c>
      <c r="O75" s="183">
        <f>+O73*0.2918</f>
        <v>506.273</v>
      </c>
      <c r="P75" s="103">
        <f t="shared" si="25"/>
        <v>714.91</v>
      </c>
      <c r="Q75" s="183">
        <f>+Q73*0.2918</f>
        <v>723.664</v>
      </c>
      <c r="R75" s="103">
        <f t="shared" si="25"/>
        <v>962.94</v>
      </c>
    </row>
    <row r="76" spans="1:18" ht="12.75">
      <c r="A76" s="17"/>
      <c r="B76" s="18" t="s">
        <v>36</v>
      </c>
      <c r="C76" s="165"/>
      <c r="D76" s="19"/>
      <c r="E76" s="246"/>
      <c r="F76" s="19"/>
      <c r="G76" s="165"/>
      <c r="H76" s="19"/>
      <c r="I76" s="165"/>
      <c r="J76" s="19"/>
      <c r="K76" s="165"/>
      <c r="L76" s="19"/>
      <c r="M76" s="165"/>
      <c r="N76" s="19"/>
      <c r="O76" s="165"/>
      <c r="P76" s="19"/>
      <c r="Q76" s="165"/>
      <c r="R76" s="19"/>
    </row>
    <row r="77" spans="1:18" ht="12.75">
      <c r="A77" s="17">
        <v>1</v>
      </c>
      <c r="B77" s="20" t="s">
        <v>37</v>
      </c>
      <c r="C77" s="6">
        <f>('WINTER 2007-08 Detailed'!D77+'WINTER 2007-08 Detailed'!D81+'WINTER 2007-08 Detailed'!D84-'Discom Combined'!C78-'Discom Combined'!C87-'Discom Combined'!C96-'Discom Combined'!C105-'Discom Combined'!C109)*0.2918</f>
        <v>685.8759</v>
      </c>
      <c r="D77" s="240">
        <f>('WINTER 2007-08 Detailed'!E77+'WINTER 2007-08 Detailed'!E81+'WINTER 2007-08 Detailed'!E84-'Discom Combined'!D78-'Discom Combined'!D87-'Discom Combined'!D96-'Discom Combined'!D105-'Discom Combined'!D109)*0.2918</f>
        <v>816.0187</v>
      </c>
      <c r="E77" s="238">
        <f>('WINTER 2007-08 Detailed'!F77+'WINTER 2007-08 Detailed'!F81+'WINTER 2007-08 Detailed'!F84-'Discom Combined'!E78-'Discom Combined'!E87-'Discom Combined'!E96-'Discom Combined'!E105-'Discom Combined'!E109)*0.2918</f>
        <v>685.8759</v>
      </c>
      <c r="F77" s="238">
        <f>('WINTER 2007-08 Detailed'!G77+'WINTER 2007-08 Detailed'!G81+'WINTER 2007-08 Detailed'!G84-'Discom Combined'!F78-'Discom Combined'!F87-'Discom Combined'!F96-'Discom Combined'!F105-'Discom Combined'!F109)*0.2918</f>
        <v>816.0187</v>
      </c>
      <c r="G77" s="6">
        <f>('WINTER 2007-08 Detailed'!H77+'WINTER 2007-08 Detailed'!H81+'WINTER 2007-08 Detailed'!H84-'Discom Combined'!G78-'Discom Combined'!G87-'Discom Combined'!G96-'Discom Combined'!G105-'Discom Combined'!G109)*0.2918</f>
        <v>667.0276374416516</v>
      </c>
      <c r="H77" s="238">
        <f>('WINTER 2007-08 Detailed'!I77+'WINTER 2007-08 Detailed'!I81+'WINTER 2007-08 Detailed'!I84-'Discom Combined'!H78-'Discom Combined'!H87-'Discom Combined'!H96-'Discom Combined'!H105-'Discom Combined'!H109)*0.2918</f>
        <v>797.1704374416516</v>
      </c>
      <c r="I77" s="6">
        <f>('WINTER 2007-08 Detailed'!J77+'WINTER 2007-08 Detailed'!J81+'WINTER 2007-08 Detailed'!J84-'Discom Combined'!I78-'Discom Combined'!I87-'Discom Combined'!I96-'Discom Combined'!I105-'Discom Combined'!I109)*0.2918</f>
        <v>667.0276374416516</v>
      </c>
      <c r="J77" s="238">
        <f>('WINTER 2007-08 Detailed'!K77+'WINTER 2007-08 Detailed'!K81+'WINTER 2007-08 Detailed'!K84-'Discom Combined'!J78-'Discom Combined'!J87-'Discom Combined'!J96-'Discom Combined'!J105-'Discom Combined'!J109)*0.2918</f>
        <v>797.1704374416516</v>
      </c>
      <c r="K77" s="6">
        <f>('WINTER 2007-08 Detailed'!L77+'WINTER 2007-08 Detailed'!L81+'WINTER 2007-08 Detailed'!L84-'Discom Combined'!K78-'Discom Combined'!K87-'Discom Combined'!K96-'Discom Combined'!K105-'Discom Combined'!K109)*0.2918</f>
        <v>681.6447993513884</v>
      </c>
      <c r="L77" s="238">
        <f>('WINTER 2007-08 Detailed'!M77+'WINTER 2007-08 Detailed'!M81+'WINTER 2007-08 Detailed'!M84-'Discom Combined'!L78-'Discom Combined'!L87-'Discom Combined'!L96-'Discom Combined'!L105-'Discom Combined'!L109)*0.2918</f>
        <v>811.7875993513884</v>
      </c>
      <c r="M77" s="6">
        <f>('WINTER 2007-08 Detailed'!N77+'WINTER 2007-08 Detailed'!N81+'WINTER 2007-08 Detailed'!N84-'Discom Combined'!M78-'Discom Combined'!M87-'Discom Combined'!M96-'Discom Combined'!M105-'Discom Combined'!M109)*0.2918</f>
        <v>681.6447993513884</v>
      </c>
      <c r="N77" s="238">
        <f>('WINTER 2007-08 Detailed'!O77+'WINTER 2007-08 Detailed'!O81+'WINTER 2007-08 Detailed'!O84-'Discom Combined'!N78-'Discom Combined'!N87-'Discom Combined'!N96-'Discom Combined'!N105-'Discom Combined'!N109)*0.2918</f>
        <v>811.7875993513884</v>
      </c>
      <c r="O77" s="6">
        <f>('WINTER 2007-08 Detailed'!P77+'WINTER 2007-08 Detailed'!P81+'WINTER 2007-08 Detailed'!P84-'Discom Combined'!O78-'Discom Combined'!O87-'Discom Combined'!O96-'Discom Combined'!O105-'Discom Combined'!O109)*0.2918</f>
        <v>681.8481743424231</v>
      </c>
      <c r="P77" s="238">
        <f>('WINTER 2007-08 Detailed'!Q77+'WINTER 2007-08 Detailed'!Q81+'WINTER 2007-08 Detailed'!Q84-'Discom Combined'!P78-'Discom Combined'!P87-'Discom Combined'!P96-'Discom Combined'!P105-'Discom Combined'!P109)*0.2918</f>
        <v>811.9909743424232</v>
      </c>
      <c r="Q77" s="6">
        <f>('WINTER 2007-08 Detailed'!R77+'WINTER 2007-08 Detailed'!R81+'WINTER 2007-08 Detailed'!R84-'Discom Combined'!Q78-'Discom Combined'!Q87-'Discom Combined'!Q96-'Discom Combined'!Q105-'Discom Combined'!Q109)*0.2918</f>
        <v>681.8481743424231</v>
      </c>
      <c r="R77" s="240">
        <f>('WINTER 2007-08 Detailed'!S77+'WINTER 2007-08 Detailed'!S81+'WINTER 2007-08 Detailed'!S84-'Discom Combined'!R78-'Discom Combined'!R87-'Discom Combined'!R96-'Discom Combined'!R105-'Discom Combined'!R109)*0.2918</f>
        <v>811.9909743424232</v>
      </c>
    </row>
    <row r="78" spans="1:18" ht="12.75">
      <c r="A78" s="17">
        <v>2</v>
      </c>
      <c r="B78" s="20" t="s">
        <v>38</v>
      </c>
      <c r="C78" s="166">
        <f>(266*((2393-0)/2393))*0.35</f>
        <v>93.1</v>
      </c>
      <c r="D78" s="21">
        <f>(266*((2393-0)/2393))*0.35</f>
        <v>93.1</v>
      </c>
      <c r="E78" s="247">
        <f>(266*((2393-0)/2393))*0.35</f>
        <v>93.1</v>
      </c>
      <c r="F78" s="21">
        <f>(266*((2393-0)/2393))*0.35</f>
        <v>93.1</v>
      </c>
      <c r="G78" s="166">
        <f>(266*((2393-210)/2393))*0.35</f>
        <v>84.92992060175511</v>
      </c>
      <c r="H78" s="21">
        <f>(266*((2393-210)/2393))*0.35</f>
        <v>84.92992060175511</v>
      </c>
      <c r="I78" s="166">
        <f>(266*((2393-210)/2393))*0.35</f>
        <v>84.92992060175511</v>
      </c>
      <c r="J78" s="21">
        <f>(266*((2393-210)/2393))*0.35</f>
        <v>84.92992060175511</v>
      </c>
      <c r="K78" s="166">
        <f>(266*((2393-210-210)/2393))*0.35</f>
        <v>76.75984120351023</v>
      </c>
      <c r="L78" s="21">
        <f>(266*((2393-210-210)/2393))*0.35</f>
        <v>76.75984120351023</v>
      </c>
      <c r="M78" s="166">
        <f>(266*((2393-210-210)/2393))*0.35</f>
        <v>76.75984120351023</v>
      </c>
      <c r="N78" s="21">
        <f>(266*((2393-210-210)/2393))*0.35</f>
        <v>76.75984120351023</v>
      </c>
      <c r="O78" s="166">
        <f>(266*((2393-210-95-67.5)/2393))*0.35</f>
        <v>78.60783535311324</v>
      </c>
      <c r="P78" s="21">
        <f>(266*((2393-210-95-67.5)/2393))*0.35</f>
        <v>78.60783535311324</v>
      </c>
      <c r="Q78" s="166">
        <f>(266*((2393-210-95-67.5)/2393))*0.35</f>
        <v>78.60783535311324</v>
      </c>
      <c r="R78" s="21">
        <f>(266*((2393-210-95-67.5)/2393))*0.35</f>
        <v>78.60783535311324</v>
      </c>
    </row>
    <row r="79" spans="1:18" ht="12.75">
      <c r="A79" s="17">
        <v>3</v>
      </c>
      <c r="B79" s="22" t="s">
        <v>39</v>
      </c>
      <c r="C79" s="166">
        <f aca="true" t="shared" si="26" ref="C79:R79">92*0.2918</f>
        <v>26.8456</v>
      </c>
      <c r="D79" s="21">
        <f t="shared" si="26"/>
        <v>26.8456</v>
      </c>
      <c r="E79" s="247">
        <f t="shared" si="26"/>
        <v>26.8456</v>
      </c>
      <c r="F79" s="21">
        <f t="shared" si="26"/>
        <v>26.8456</v>
      </c>
      <c r="G79" s="166">
        <f t="shared" si="26"/>
        <v>26.8456</v>
      </c>
      <c r="H79" s="21">
        <f t="shared" si="26"/>
        <v>26.8456</v>
      </c>
      <c r="I79" s="166">
        <f t="shared" si="26"/>
        <v>26.8456</v>
      </c>
      <c r="J79" s="21">
        <f t="shared" si="26"/>
        <v>26.8456</v>
      </c>
      <c r="K79" s="166">
        <f t="shared" si="26"/>
        <v>26.8456</v>
      </c>
      <c r="L79" s="21">
        <f t="shared" si="26"/>
        <v>26.8456</v>
      </c>
      <c r="M79" s="166">
        <f t="shared" si="26"/>
        <v>26.8456</v>
      </c>
      <c r="N79" s="21">
        <f t="shared" si="26"/>
        <v>26.8456</v>
      </c>
      <c r="O79" s="166">
        <f t="shared" si="26"/>
        <v>26.8456</v>
      </c>
      <c r="P79" s="21">
        <f t="shared" si="26"/>
        <v>26.8456</v>
      </c>
      <c r="Q79" s="166">
        <f t="shared" si="26"/>
        <v>26.8456</v>
      </c>
      <c r="R79" s="21">
        <f t="shared" si="26"/>
        <v>26.8456</v>
      </c>
    </row>
    <row r="80" spans="1:18" ht="12.75">
      <c r="A80" s="17">
        <v>4</v>
      </c>
      <c r="B80" s="279" t="s">
        <v>116</v>
      </c>
      <c r="C80" s="128">
        <v>0</v>
      </c>
      <c r="D80" s="129">
        <v>52</v>
      </c>
      <c r="E80" s="129">
        <v>0</v>
      </c>
      <c r="F80" s="130">
        <v>0</v>
      </c>
      <c r="G80" s="128">
        <v>0</v>
      </c>
      <c r="H80" s="129">
        <v>52</v>
      </c>
      <c r="I80" s="129">
        <v>0</v>
      </c>
      <c r="J80" s="130">
        <v>0</v>
      </c>
      <c r="K80" s="128">
        <v>0</v>
      </c>
      <c r="L80" s="129">
        <v>0</v>
      </c>
      <c r="M80" s="129">
        <v>0</v>
      </c>
      <c r="N80" s="194">
        <v>0</v>
      </c>
      <c r="O80" s="262">
        <v>0</v>
      </c>
      <c r="P80" s="129">
        <v>0</v>
      </c>
      <c r="Q80" s="129">
        <v>0</v>
      </c>
      <c r="R80" s="194">
        <v>0</v>
      </c>
    </row>
    <row r="81" spans="1:18" s="93" customFormat="1" ht="13.5" thickBot="1">
      <c r="A81" s="99">
        <v>5</v>
      </c>
      <c r="B81" s="100" t="s">
        <v>40</v>
      </c>
      <c r="C81" s="167">
        <f>SUM(C77:C80)</f>
        <v>805.8215</v>
      </c>
      <c r="D81" s="167">
        <f aca="true" t="shared" si="27" ref="D81:J81">SUM(D77:D80)</f>
        <v>987.9643</v>
      </c>
      <c r="E81" s="167">
        <f t="shared" si="27"/>
        <v>805.8215</v>
      </c>
      <c r="F81" s="167">
        <f t="shared" si="27"/>
        <v>935.9643</v>
      </c>
      <c r="G81" s="167">
        <f t="shared" si="27"/>
        <v>778.8031580434067</v>
      </c>
      <c r="H81" s="167">
        <f t="shared" si="27"/>
        <v>960.9459580434068</v>
      </c>
      <c r="I81" s="167">
        <f t="shared" si="27"/>
        <v>778.8031580434067</v>
      </c>
      <c r="J81" s="167">
        <f t="shared" si="27"/>
        <v>908.9459580434068</v>
      </c>
      <c r="K81" s="167">
        <f aca="true" t="shared" si="28" ref="K81:R81">SUM(K77:K79)</f>
        <v>785.2502405548986</v>
      </c>
      <c r="L81" s="168">
        <f t="shared" si="28"/>
        <v>915.3930405548987</v>
      </c>
      <c r="M81" s="167">
        <f t="shared" si="28"/>
        <v>785.2502405548986</v>
      </c>
      <c r="N81" s="168">
        <f t="shared" si="28"/>
        <v>915.3930405548987</v>
      </c>
      <c r="O81" s="167">
        <f t="shared" si="28"/>
        <v>787.3016096955364</v>
      </c>
      <c r="P81" s="168">
        <f t="shared" si="28"/>
        <v>917.4444096955365</v>
      </c>
      <c r="Q81" s="167">
        <f t="shared" si="28"/>
        <v>787.3016096955364</v>
      </c>
      <c r="R81" s="168">
        <f t="shared" si="28"/>
        <v>917.4444096955365</v>
      </c>
    </row>
    <row r="82" spans="1:18" ht="13.5" customHeight="1" thickBot="1">
      <c r="A82" s="23"/>
      <c r="B82" s="24" t="s">
        <v>41</v>
      </c>
      <c r="C82" s="174">
        <f aca="true" t="shared" si="29" ref="C82:R82">+C81-C75</f>
        <v>387.0885</v>
      </c>
      <c r="D82" s="175">
        <f t="shared" si="29"/>
        <v>97.97429999999997</v>
      </c>
      <c r="E82" s="243">
        <f t="shared" si="29"/>
        <v>105.50149999999996</v>
      </c>
      <c r="F82" s="175">
        <f t="shared" si="29"/>
        <v>28.466299999999933</v>
      </c>
      <c r="G82" s="174">
        <f t="shared" si="29"/>
        <v>360.0701580434067</v>
      </c>
      <c r="H82" s="175">
        <f t="shared" si="29"/>
        <v>129.3159580434068</v>
      </c>
      <c r="I82" s="174">
        <f t="shared" si="29"/>
        <v>49.30315804340671</v>
      </c>
      <c r="J82" s="175">
        <f t="shared" si="29"/>
        <v>132.7579580434068</v>
      </c>
      <c r="K82" s="174">
        <f t="shared" si="29"/>
        <v>351.9272405548986</v>
      </c>
      <c r="L82" s="175">
        <f t="shared" si="29"/>
        <v>171.30304055489864</v>
      </c>
      <c r="M82" s="174">
        <f t="shared" si="29"/>
        <v>90.76624055489856</v>
      </c>
      <c r="N82" s="175">
        <f t="shared" si="29"/>
        <v>127.53304055489866</v>
      </c>
      <c r="O82" s="174">
        <f t="shared" si="29"/>
        <v>281.0286096955364</v>
      </c>
      <c r="P82" s="175">
        <f t="shared" si="29"/>
        <v>202.5344096955365</v>
      </c>
      <c r="Q82" s="174">
        <f t="shared" si="29"/>
        <v>63.63760969553641</v>
      </c>
      <c r="R82" s="170">
        <f t="shared" si="29"/>
        <v>-45.495590304463576</v>
      </c>
    </row>
    <row r="83" spans="1:18" ht="13.5" thickBot="1">
      <c r="A83" s="304" t="s">
        <v>42</v>
      </c>
      <c r="B83" s="305"/>
      <c r="C83" s="16"/>
      <c r="D83" s="25"/>
      <c r="E83" s="244"/>
      <c r="F83" s="190"/>
      <c r="G83" s="16"/>
      <c r="H83" s="25"/>
      <c r="I83" s="188"/>
      <c r="J83" s="190"/>
      <c r="K83" s="16"/>
      <c r="L83" s="25"/>
      <c r="M83" s="188"/>
      <c r="N83" s="190"/>
      <c r="O83" s="16"/>
      <c r="P83" s="25"/>
      <c r="Q83" s="188"/>
      <c r="R83" s="190"/>
    </row>
    <row r="84" spans="1:18" s="98" customFormat="1" ht="12.75">
      <c r="A84" s="101" t="s">
        <v>43</v>
      </c>
      <c r="B84" s="102" t="s">
        <v>44</v>
      </c>
      <c r="C84" s="185">
        <f>+C73*0.2724</f>
        <v>390.89399999999995</v>
      </c>
      <c r="D84" s="179">
        <f aca="true" t="shared" si="30" ref="D84:R84">+D73*0.2724</f>
        <v>830.8199999999999</v>
      </c>
      <c r="E84" s="269">
        <f>+E73*0.2724</f>
        <v>653.76</v>
      </c>
      <c r="F84" s="179">
        <f t="shared" si="30"/>
        <v>847.1639999999999</v>
      </c>
      <c r="G84" s="185">
        <f>+G73*0.2724</f>
        <v>390.89399999999995</v>
      </c>
      <c r="H84" s="179">
        <f t="shared" si="30"/>
        <v>776.3399999999999</v>
      </c>
      <c r="I84" s="185">
        <f>+I73*0.2724</f>
        <v>680.9999999999999</v>
      </c>
      <c r="J84" s="179">
        <f t="shared" si="30"/>
        <v>724.584</v>
      </c>
      <c r="K84" s="185">
        <f>+K73*0.2724</f>
        <v>404.51399999999995</v>
      </c>
      <c r="L84" s="179">
        <f t="shared" si="30"/>
        <v>694.6199999999999</v>
      </c>
      <c r="M84" s="185">
        <f>+M73*0.2724</f>
        <v>648.3119999999999</v>
      </c>
      <c r="N84" s="179">
        <f t="shared" si="30"/>
        <v>735.4799999999999</v>
      </c>
      <c r="O84" s="185">
        <f>+O73*0.2724</f>
        <v>472.614</v>
      </c>
      <c r="P84" s="179">
        <f t="shared" si="30"/>
        <v>667.38</v>
      </c>
      <c r="Q84" s="185">
        <f>+Q73*0.2724</f>
        <v>675.5519999999999</v>
      </c>
      <c r="R84" s="179">
        <f t="shared" si="30"/>
        <v>898.92</v>
      </c>
    </row>
    <row r="85" spans="1:18" ht="12.75">
      <c r="A85" s="17"/>
      <c r="B85" s="18" t="s">
        <v>45</v>
      </c>
      <c r="C85" s="166"/>
      <c r="D85" s="21"/>
      <c r="E85" s="247"/>
      <c r="F85" s="21"/>
      <c r="G85" s="166"/>
      <c r="H85" s="21"/>
      <c r="I85" s="166"/>
      <c r="J85" s="21"/>
      <c r="K85" s="166"/>
      <c r="L85" s="21"/>
      <c r="M85" s="166"/>
      <c r="N85" s="21"/>
      <c r="O85" s="166"/>
      <c r="P85" s="21"/>
      <c r="Q85" s="166"/>
      <c r="R85" s="21"/>
    </row>
    <row r="86" spans="1:18" ht="12.75">
      <c r="A86" s="17">
        <v>1</v>
      </c>
      <c r="B86" s="20" t="s">
        <v>37</v>
      </c>
      <c r="C86" s="6">
        <f>('WINTER 2007-08 Detailed'!D77+'WINTER 2007-08 Detailed'!D81+'WINTER 2007-08 Detailed'!D84-'Discom Combined'!C78-'Discom Combined'!C87-'Discom Combined'!C96-'Discom Combined'!C105-'Discom Combined'!C109)*0.2724</f>
        <v>640.2761999999999</v>
      </c>
      <c r="D86" s="240">
        <f>('WINTER 2007-08 Detailed'!E77+'WINTER 2007-08 Detailed'!E81+'WINTER 2007-08 Detailed'!E84-'Discom Combined'!D78-'Discom Combined'!D87-'Discom Combined'!D96-'Discom Combined'!D105-'Discom Combined'!D109)*0.2724</f>
        <v>761.7665999999999</v>
      </c>
      <c r="E86" s="238">
        <f>('WINTER 2007-08 Detailed'!F77+'WINTER 2007-08 Detailed'!F81+'WINTER 2007-08 Detailed'!F84-'Discom Combined'!E78-'Discom Combined'!E87-'Discom Combined'!E96-'Discom Combined'!E105-'Discom Combined'!E109)*0.2724</f>
        <v>640.2761999999999</v>
      </c>
      <c r="F86" s="238">
        <f>('WINTER 2007-08 Detailed'!G77+'WINTER 2007-08 Detailed'!G81+'WINTER 2007-08 Detailed'!G84-'Discom Combined'!F78-'Discom Combined'!F87-'Discom Combined'!F96-'Discom Combined'!F105-'Discom Combined'!F109)*0.2724</f>
        <v>761.7665999999999</v>
      </c>
      <c r="G86" s="6">
        <f>('WINTER 2007-08 Detailed'!H77+'WINTER 2007-08 Detailed'!H81+'WINTER 2007-08 Detailed'!H84-'Discom Combined'!G78-'Discom Combined'!G87-'Discom Combined'!G96-'Discom Combined'!G105-'Discom Combined'!G109)*0.2724</f>
        <v>622.6810433142765</v>
      </c>
      <c r="H86" s="238">
        <f>('WINTER 2007-08 Detailed'!I77+'WINTER 2007-08 Detailed'!I81+'WINTER 2007-08 Detailed'!I84-'Discom Combined'!H78-'Discom Combined'!H87-'Discom Combined'!H96-'Discom Combined'!H105-'Discom Combined'!H109)*0.2724</f>
        <v>744.1714433142765</v>
      </c>
      <c r="I86" s="6">
        <f>('WINTER 2007-08 Detailed'!J77+'WINTER 2007-08 Detailed'!J81+'WINTER 2007-08 Detailed'!J84-'Discom Combined'!I78-'Discom Combined'!I87-'Discom Combined'!I96-'Discom Combined'!I105-'Discom Combined'!I109)*0.2724</f>
        <v>622.6810433142765</v>
      </c>
      <c r="J86" s="238">
        <f>('WINTER 2007-08 Detailed'!K77+'WINTER 2007-08 Detailed'!K81+'WINTER 2007-08 Detailed'!K84-'Discom Combined'!J78-'Discom Combined'!J87-'Discom Combined'!J96-'Discom Combined'!J105-'Discom Combined'!J109)*0.2724</f>
        <v>744.1714433142765</v>
      </c>
      <c r="K86" s="6">
        <f>('WINTER 2007-08 Detailed'!L77+'WINTER 2007-08 Detailed'!L81+'WINTER 2007-08 Detailed'!L84-'Discom Combined'!K78-'Discom Combined'!K87-'Discom Combined'!K96-'Discom Combined'!K105-'Discom Combined'!K109)*0.2724</f>
        <v>636.3263993945105</v>
      </c>
      <c r="L86" s="238">
        <f>('WINTER 2007-08 Detailed'!M77+'WINTER 2007-08 Detailed'!M81+'WINTER 2007-08 Detailed'!M84-'Discom Combined'!L78-'Discom Combined'!L87-'Discom Combined'!L96-'Discom Combined'!L105-'Discom Combined'!L109)*0.2724</f>
        <v>757.8167993945106</v>
      </c>
      <c r="M86" s="6">
        <f>('WINTER 2007-08 Detailed'!N77+'WINTER 2007-08 Detailed'!N81+'WINTER 2007-08 Detailed'!N84-'Discom Combined'!M78-'Discom Combined'!M87-'Discom Combined'!M96-'Discom Combined'!M105-'Discom Combined'!M109)*0.2724</f>
        <v>636.3263993945105</v>
      </c>
      <c r="N86" s="238">
        <f>('WINTER 2007-08 Detailed'!O77+'WINTER 2007-08 Detailed'!O81+'WINTER 2007-08 Detailed'!O84-'Discom Combined'!N78-'Discom Combined'!N87-'Discom Combined'!N96-'Discom Combined'!N105-'Discom Combined'!N109)*0.2724</f>
        <v>757.8167993945106</v>
      </c>
      <c r="O86" s="6">
        <f>('WINTER 2007-08 Detailed'!P77+'WINTER 2007-08 Detailed'!P81+'WINTER 2007-08 Detailed'!P84-'Discom Combined'!O78-'Discom Combined'!O87-'Discom Combined'!O96-'Discom Combined'!O105-'Discom Combined'!O109)*0.2724</f>
        <v>636.5162532243868</v>
      </c>
      <c r="P86" s="238">
        <f>('WINTER 2007-08 Detailed'!Q77+'WINTER 2007-08 Detailed'!Q81+'WINTER 2007-08 Detailed'!Q84-'Discom Combined'!P78-'Discom Combined'!P87-'Discom Combined'!P96-'Discom Combined'!P105-'Discom Combined'!P109)*0.2724</f>
        <v>758.0066532243867</v>
      </c>
      <c r="Q86" s="6">
        <f>('WINTER 2007-08 Detailed'!R77+'WINTER 2007-08 Detailed'!R81+'WINTER 2007-08 Detailed'!R84-'Discom Combined'!Q78-'Discom Combined'!Q87-'Discom Combined'!Q96-'Discom Combined'!Q105-'Discom Combined'!Q109)*0.2724</f>
        <v>636.5162532243868</v>
      </c>
      <c r="R86" s="240">
        <f>('WINTER 2007-08 Detailed'!S77+'WINTER 2007-08 Detailed'!S81+'WINTER 2007-08 Detailed'!S84-'Discom Combined'!R78-'Discom Combined'!R87-'Discom Combined'!R96-'Discom Combined'!R105-'Discom Combined'!R109)*0.2724</f>
        <v>758.0066532243867</v>
      </c>
    </row>
    <row r="87" spans="1:18" ht="12.75">
      <c r="A87" s="17">
        <v>2</v>
      </c>
      <c r="B87" s="20" t="s">
        <v>38</v>
      </c>
      <c r="C87" s="166">
        <f>(266*((2393-0)/2393))*0.55</f>
        <v>146.3</v>
      </c>
      <c r="D87" s="21">
        <f>(266*((2393-0)/2393))*0.55</f>
        <v>146.3</v>
      </c>
      <c r="E87" s="247">
        <f>(266*((2393-0)/2393))*0.55</f>
        <v>146.3</v>
      </c>
      <c r="F87" s="21">
        <f>(266*((2393-0)/2393))*0.55</f>
        <v>146.3</v>
      </c>
      <c r="G87" s="166">
        <f>(266*((2393-210)/2393))*0.55</f>
        <v>133.46130380275807</v>
      </c>
      <c r="H87" s="21">
        <f>(266*((2393-210)/2393))*0.55</f>
        <v>133.46130380275807</v>
      </c>
      <c r="I87" s="166">
        <f>(266*((2393-210)/2393))*0.55</f>
        <v>133.46130380275807</v>
      </c>
      <c r="J87" s="21">
        <f>(266*((2393-210)/2393))*0.55</f>
        <v>133.46130380275807</v>
      </c>
      <c r="K87" s="166">
        <f>(266*((2393-210-210)/2393))*0.55</f>
        <v>120.6226076055161</v>
      </c>
      <c r="L87" s="21">
        <f>(266*((2393-210-210)/2393))*0.55</f>
        <v>120.6226076055161</v>
      </c>
      <c r="M87" s="166">
        <f>(266*((2393-210-210)/2393))*0.55</f>
        <v>120.6226076055161</v>
      </c>
      <c r="N87" s="21">
        <f>(266*((2393-210-210)/2393))*0.55</f>
        <v>120.6226076055161</v>
      </c>
      <c r="O87" s="166">
        <f>(266*((2393-210-95-67.5)/2393))*0.55</f>
        <v>123.52659841203511</v>
      </c>
      <c r="P87" s="21">
        <f>(266*((2393-210-95-67.5)/2393))*0.55</f>
        <v>123.52659841203511</v>
      </c>
      <c r="Q87" s="166">
        <f>(266*((2393-210-95-67.5)/2393))*0.55</f>
        <v>123.52659841203511</v>
      </c>
      <c r="R87" s="21">
        <f>(266*((2393-210-95-67.5)/2393))*0.55</f>
        <v>123.52659841203511</v>
      </c>
    </row>
    <row r="88" spans="1:20" ht="12.75">
      <c r="A88" s="17">
        <v>3</v>
      </c>
      <c r="B88" s="22" t="s">
        <v>39</v>
      </c>
      <c r="C88" s="166">
        <f aca="true" t="shared" si="31" ref="C88:R88">92*0.2724</f>
        <v>25.060799999999997</v>
      </c>
      <c r="D88" s="21">
        <f t="shared" si="31"/>
        <v>25.060799999999997</v>
      </c>
      <c r="E88" s="247">
        <f t="shared" si="31"/>
        <v>25.060799999999997</v>
      </c>
      <c r="F88" s="21">
        <f t="shared" si="31"/>
        <v>25.060799999999997</v>
      </c>
      <c r="G88" s="166">
        <f t="shared" si="31"/>
        <v>25.060799999999997</v>
      </c>
      <c r="H88" s="21">
        <f t="shared" si="31"/>
        <v>25.060799999999997</v>
      </c>
      <c r="I88" s="166">
        <f t="shared" si="31"/>
        <v>25.060799999999997</v>
      </c>
      <c r="J88" s="21">
        <f t="shared" si="31"/>
        <v>25.060799999999997</v>
      </c>
      <c r="K88" s="166">
        <f t="shared" si="31"/>
        <v>25.060799999999997</v>
      </c>
      <c r="L88" s="21">
        <f t="shared" si="31"/>
        <v>25.060799999999997</v>
      </c>
      <c r="M88" s="166">
        <f t="shared" si="31"/>
        <v>25.060799999999997</v>
      </c>
      <c r="N88" s="21">
        <f t="shared" si="31"/>
        <v>25.060799999999997</v>
      </c>
      <c r="O88" s="166">
        <f t="shared" si="31"/>
        <v>25.060799999999997</v>
      </c>
      <c r="P88" s="21">
        <f t="shared" si="31"/>
        <v>25.060799999999997</v>
      </c>
      <c r="Q88" s="166">
        <f t="shared" si="31"/>
        <v>25.060799999999997</v>
      </c>
      <c r="R88" s="21">
        <f t="shared" si="31"/>
        <v>25.060799999999997</v>
      </c>
      <c r="T88" s="26"/>
    </row>
    <row r="89" spans="1:20" ht="12.75">
      <c r="A89" s="17">
        <v>4</v>
      </c>
      <c r="B89" s="274" t="s">
        <v>118</v>
      </c>
      <c r="C89" s="128">
        <v>-17</v>
      </c>
      <c r="D89" s="130">
        <v>-17</v>
      </c>
      <c r="E89" s="262">
        <v>-17</v>
      </c>
      <c r="F89" s="130">
        <v>0</v>
      </c>
      <c r="G89" s="128">
        <v>-17</v>
      </c>
      <c r="H89" s="129">
        <v>-17</v>
      </c>
      <c r="I89" s="129">
        <v>-17</v>
      </c>
      <c r="J89" s="130">
        <v>0</v>
      </c>
      <c r="K89" s="128">
        <v>0</v>
      </c>
      <c r="L89" s="129">
        <v>0</v>
      </c>
      <c r="M89" s="129">
        <v>0</v>
      </c>
      <c r="N89" s="194">
        <v>0</v>
      </c>
      <c r="O89" s="262">
        <v>0</v>
      </c>
      <c r="P89" s="129">
        <v>0</v>
      </c>
      <c r="Q89" s="129">
        <v>0</v>
      </c>
      <c r="R89" s="194">
        <v>0</v>
      </c>
      <c r="T89" s="26"/>
    </row>
    <row r="90" spans="1:18" s="93" customFormat="1" ht="13.5" customHeight="1" thickBot="1">
      <c r="A90" s="99">
        <v>5</v>
      </c>
      <c r="B90" s="273" t="s">
        <v>40</v>
      </c>
      <c r="C90" s="252">
        <f>SUM(C86:C89)</f>
        <v>794.637</v>
      </c>
      <c r="D90" s="277">
        <f aca="true" t="shared" si="32" ref="D90:R90">SUM(D86:D89)</f>
        <v>916.1273999999999</v>
      </c>
      <c r="E90" s="275">
        <f t="shared" si="32"/>
        <v>794.637</v>
      </c>
      <c r="F90" s="252">
        <f t="shared" si="32"/>
        <v>933.1273999999999</v>
      </c>
      <c r="G90" s="252">
        <f t="shared" si="32"/>
        <v>764.2031471170345</v>
      </c>
      <c r="H90" s="252">
        <f t="shared" si="32"/>
        <v>885.6935471170345</v>
      </c>
      <c r="I90" s="252">
        <f t="shared" si="32"/>
        <v>764.2031471170345</v>
      </c>
      <c r="J90" s="252">
        <f t="shared" si="32"/>
        <v>902.6935471170345</v>
      </c>
      <c r="K90" s="252">
        <f t="shared" si="32"/>
        <v>782.0098070000266</v>
      </c>
      <c r="L90" s="252">
        <f t="shared" si="32"/>
        <v>903.5002070000266</v>
      </c>
      <c r="M90" s="252">
        <f t="shared" si="32"/>
        <v>782.0098070000266</v>
      </c>
      <c r="N90" s="252">
        <f t="shared" si="32"/>
        <v>903.5002070000266</v>
      </c>
      <c r="O90" s="252">
        <f t="shared" si="32"/>
        <v>785.1036516364219</v>
      </c>
      <c r="P90" s="252">
        <f t="shared" si="32"/>
        <v>906.5940516364218</v>
      </c>
      <c r="Q90" s="252">
        <f t="shared" si="32"/>
        <v>785.1036516364219</v>
      </c>
      <c r="R90" s="252">
        <f t="shared" si="32"/>
        <v>906.5940516364218</v>
      </c>
    </row>
    <row r="91" spans="1:18" ht="13.5" thickBot="1">
      <c r="A91" s="23"/>
      <c r="B91" s="24" t="s">
        <v>46</v>
      </c>
      <c r="C91" s="174">
        <f aca="true" t="shared" si="33" ref="C91:R91">+C90-C84</f>
        <v>403.743</v>
      </c>
      <c r="D91" s="175">
        <f t="shared" si="33"/>
        <v>85.30739999999992</v>
      </c>
      <c r="E91" s="243">
        <f t="shared" si="33"/>
        <v>140.87699999999995</v>
      </c>
      <c r="F91" s="175">
        <f t="shared" si="33"/>
        <v>85.96339999999998</v>
      </c>
      <c r="G91" s="174">
        <f t="shared" si="33"/>
        <v>373.30914711703457</v>
      </c>
      <c r="H91" s="175">
        <f t="shared" si="33"/>
        <v>109.35354711703462</v>
      </c>
      <c r="I91" s="174">
        <f t="shared" si="33"/>
        <v>83.20314711703463</v>
      </c>
      <c r="J91" s="175">
        <f t="shared" si="33"/>
        <v>178.1095471170346</v>
      </c>
      <c r="K91" s="174">
        <f t="shared" si="33"/>
        <v>377.4958070000267</v>
      </c>
      <c r="L91" s="175">
        <f t="shared" si="33"/>
        <v>208.88020700002676</v>
      </c>
      <c r="M91" s="174">
        <f t="shared" si="33"/>
        <v>133.69780700002673</v>
      </c>
      <c r="N91" s="175">
        <f t="shared" si="33"/>
        <v>168.02020700002674</v>
      </c>
      <c r="O91" s="174">
        <f t="shared" si="33"/>
        <v>312.4896516364219</v>
      </c>
      <c r="P91" s="175">
        <f t="shared" si="33"/>
        <v>239.2140516364218</v>
      </c>
      <c r="Q91" s="174">
        <f t="shared" si="33"/>
        <v>109.55165163642198</v>
      </c>
      <c r="R91" s="175">
        <f t="shared" si="33"/>
        <v>7.6740516364218365</v>
      </c>
    </row>
    <row r="92" spans="1:18" ht="13.5" thickBot="1">
      <c r="A92" s="304" t="s">
        <v>47</v>
      </c>
      <c r="B92" s="306"/>
      <c r="C92" s="180"/>
      <c r="D92" s="27"/>
      <c r="E92" s="243"/>
      <c r="F92" s="175"/>
      <c r="G92" s="180"/>
      <c r="H92" s="27"/>
      <c r="I92" s="174"/>
      <c r="J92" s="175"/>
      <c r="K92" s="180"/>
      <c r="L92" s="27"/>
      <c r="M92" s="174"/>
      <c r="N92" s="175"/>
      <c r="O92" s="180"/>
      <c r="P92" s="27"/>
      <c r="Q92" s="174"/>
      <c r="R92" s="175"/>
    </row>
    <row r="93" spans="1:24" s="98" customFormat="1" ht="12.75">
      <c r="A93" s="104" t="s">
        <v>48</v>
      </c>
      <c r="B93" s="105" t="s">
        <v>49</v>
      </c>
      <c r="C93" s="185">
        <f>+C73*0.4358</f>
        <v>625.373</v>
      </c>
      <c r="D93" s="179">
        <f aca="true" t="shared" si="34" ref="D93:R93">+D73*0.4358</f>
        <v>1329.19</v>
      </c>
      <c r="E93" s="269">
        <f>+E73*0.4358</f>
        <v>1045.92</v>
      </c>
      <c r="F93" s="179">
        <f t="shared" si="34"/>
        <v>1355.338</v>
      </c>
      <c r="G93" s="185">
        <f>+G73*0.4358</f>
        <v>625.373</v>
      </c>
      <c r="H93" s="179">
        <f t="shared" si="34"/>
        <v>1242.03</v>
      </c>
      <c r="I93" s="185">
        <f>+I73*0.4358</f>
        <v>1089.5</v>
      </c>
      <c r="J93" s="179">
        <f t="shared" si="34"/>
        <v>1159.228</v>
      </c>
      <c r="K93" s="185">
        <f>+K73*0.4358</f>
        <v>647.163</v>
      </c>
      <c r="L93" s="179">
        <f t="shared" si="34"/>
        <v>1111.29</v>
      </c>
      <c r="M93" s="185">
        <f>+M73*0.4358</f>
        <v>1037.204</v>
      </c>
      <c r="N93" s="179">
        <f t="shared" si="34"/>
        <v>1176.66</v>
      </c>
      <c r="O93" s="185">
        <f>+O73*0.4358</f>
        <v>756.113</v>
      </c>
      <c r="P93" s="179">
        <f t="shared" si="34"/>
        <v>1067.71</v>
      </c>
      <c r="Q93" s="185">
        <f>+Q73*0.4358</f>
        <v>1080.784</v>
      </c>
      <c r="R93" s="179">
        <f t="shared" si="34"/>
        <v>1438.14</v>
      </c>
      <c r="T93" s="108"/>
      <c r="U93" s="109"/>
      <c r="V93" s="109"/>
      <c r="W93" s="109"/>
      <c r="X93" s="109"/>
    </row>
    <row r="94" spans="1:24" ht="12.75">
      <c r="A94" s="17"/>
      <c r="B94" s="18" t="s">
        <v>50</v>
      </c>
      <c r="C94" s="166"/>
      <c r="D94" s="21"/>
      <c r="E94" s="247"/>
      <c r="F94" s="21"/>
      <c r="G94" s="166"/>
      <c r="H94" s="21"/>
      <c r="I94" s="166"/>
      <c r="J94" s="21"/>
      <c r="K94" s="166"/>
      <c r="L94" s="21"/>
      <c r="M94" s="166"/>
      <c r="N94" s="21"/>
      <c r="O94" s="166"/>
      <c r="P94" s="21"/>
      <c r="Q94" s="166"/>
      <c r="R94" s="21"/>
      <c r="T94" s="48"/>
      <c r="U94" s="48"/>
      <c r="V94" s="48"/>
      <c r="W94" s="48"/>
      <c r="X94" s="48"/>
    </row>
    <row r="95" spans="1:24" ht="12.75">
      <c r="A95" s="17">
        <v>1</v>
      </c>
      <c r="B95" s="20" t="s">
        <v>37</v>
      </c>
      <c r="C95" s="6">
        <f>('WINTER 2007-08 Detailed'!D77+'WINTER 2007-08 Detailed'!D81+'WINTER 2007-08 Detailed'!D84-'Discom Combined'!C78-'Discom Combined'!C87-'Discom Combined'!C96-'Discom Combined'!C105-'Discom Combined'!C109)*0.4358</f>
        <v>1024.3479</v>
      </c>
      <c r="D95" s="240">
        <f>('WINTER 2007-08 Detailed'!E77+'WINTER 2007-08 Detailed'!E81+'WINTER 2007-08 Detailed'!E84-'Discom Combined'!D78-'Discom Combined'!D87-'Discom Combined'!D96-'Discom Combined'!D105-'Discom Combined'!D109)*0.4358</f>
        <v>1218.7147</v>
      </c>
      <c r="E95" s="238">
        <f>('WINTER 2007-08 Detailed'!F77+'WINTER 2007-08 Detailed'!F81+'WINTER 2007-08 Detailed'!F84-'Discom Combined'!E78-'Discom Combined'!E87-'Discom Combined'!E96-'Discom Combined'!E105-'Discom Combined'!E109)*0.4358</f>
        <v>1024.3479</v>
      </c>
      <c r="F95" s="238">
        <f>('WINTER 2007-08 Detailed'!G77+'WINTER 2007-08 Detailed'!G81+'WINTER 2007-08 Detailed'!G84-'Discom Combined'!F78-'Discom Combined'!F87-'Discom Combined'!F96-'Discom Combined'!F105-'Discom Combined'!F109)*0.4358</f>
        <v>1218.7147</v>
      </c>
      <c r="G95" s="6">
        <f>('WINTER 2007-08 Detailed'!H77+'WINTER 2007-08 Detailed'!H81+'WINTER 2007-08 Detailed'!H84-'Discom Combined'!G78-'Discom Combined'!G87-'Discom Combined'!G96-'Discom Combined'!G105-'Discom Combined'!G109)*0.4358</f>
        <v>996.1982330262913</v>
      </c>
      <c r="H95" s="238">
        <f>('WINTER 2007-08 Detailed'!I77+'WINTER 2007-08 Detailed'!I81+'WINTER 2007-08 Detailed'!I84-'Discom Combined'!H78-'Discom Combined'!H87-'Discom Combined'!H96-'Discom Combined'!H105-'Discom Combined'!H109)*0.4358</f>
        <v>1190.5650330262913</v>
      </c>
      <c r="I95" s="6">
        <f>('WINTER 2007-08 Detailed'!J77+'WINTER 2007-08 Detailed'!J81+'WINTER 2007-08 Detailed'!J84-'Discom Combined'!I78-'Discom Combined'!I87-'Discom Combined'!I96-'Discom Combined'!I105-'Discom Combined'!I109)*0.4358</f>
        <v>996.1982330262913</v>
      </c>
      <c r="J95" s="238">
        <f>('WINTER 2007-08 Detailed'!K77+'WINTER 2007-08 Detailed'!K81+'WINTER 2007-08 Detailed'!K84-'Discom Combined'!J78-'Discom Combined'!J87-'Discom Combined'!J96-'Discom Combined'!J105-'Discom Combined'!J109)*0.4358</f>
        <v>1190.5650330262913</v>
      </c>
      <c r="K95" s="6">
        <f>('WINTER 2007-08 Detailed'!L77+'WINTER 2007-08 Detailed'!L81+'WINTER 2007-08 Detailed'!L84-'Discom Combined'!K78-'Discom Combined'!K87-'Discom Combined'!K96-'Discom Combined'!K105-'Discom Combined'!K109)*0.4358</f>
        <v>1018.028799031306</v>
      </c>
      <c r="L95" s="238">
        <f>('WINTER 2007-08 Detailed'!M77+'WINTER 2007-08 Detailed'!M81+'WINTER 2007-08 Detailed'!M84-'Discom Combined'!L78-'Discom Combined'!L87-'Discom Combined'!L96-'Discom Combined'!L105-'Discom Combined'!L109)*0.4358</f>
        <v>1212.395599031306</v>
      </c>
      <c r="M95" s="6">
        <f>('WINTER 2007-08 Detailed'!N77+'WINTER 2007-08 Detailed'!N81+'WINTER 2007-08 Detailed'!N84-'Discom Combined'!M78-'Discom Combined'!M87-'Discom Combined'!M96-'Discom Combined'!M105-'Discom Combined'!M109)*0.4358</f>
        <v>1018.028799031306</v>
      </c>
      <c r="N95" s="238">
        <f>('WINTER 2007-08 Detailed'!O77+'WINTER 2007-08 Detailed'!O81+'WINTER 2007-08 Detailed'!O84-'Discom Combined'!N78-'Discom Combined'!N87-'Discom Combined'!N96-'Discom Combined'!N105-'Discom Combined'!N109)*0.4358</f>
        <v>1212.395599031306</v>
      </c>
      <c r="O95" s="6">
        <f>('WINTER 2007-08 Detailed'!P77+'WINTER 2007-08 Detailed'!P81+'WINTER 2007-08 Detailed'!P84-'Discom Combined'!O78-'Discom Combined'!O87-'Discom Combined'!O96-'Discom Combined'!O105-'Discom Combined'!O109)*0.4358</f>
        <v>1018.3325372804251</v>
      </c>
      <c r="P95" s="238">
        <f>('WINTER 2007-08 Detailed'!Q77+'WINTER 2007-08 Detailed'!Q81+'WINTER 2007-08 Detailed'!Q84-'Discom Combined'!P78-'Discom Combined'!P87-'Discom Combined'!P96-'Discom Combined'!P105-'Discom Combined'!P109)*0.4358</f>
        <v>1212.699337280425</v>
      </c>
      <c r="Q95" s="6">
        <f>('WINTER 2007-08 Detailed'!R77+'WINTER 2007-08 Detailed'!R81+'WINTER 2007-08 Detailed'!R84-'Discom Combined'!Q78-'Discom Combined'!Q87-'Discom Combined'!Q96-'Discom Combined'!Q105-'Discom Combined'!Q109)*0.4358</f>
        <v>1018.3325372804251</v>
      </c>
      <c r="R95" s="240">
        <f>('WINTER 2007-08 Detailed'!S77+'WINTER 2007-08 Detailed'!S81+'WINTER 2007-08 Detailed'!S84-'Discom Combined'!R78-'Discom Combined'!R87-'Discom Combined'!R96-'Discom Combined'!R105-'Discom Combined'!R109)*0.4358</f>
        <v>1212.699337280425</v>
      </c>
      <c r="T95" s="48"/>
      <c r="U95" s="48"/>
      <c r="V95" s="48"/>
      <c r="W95" s="48"/>
      <c r="X95" s="48"/>
    </row>
    <row r="96" spans="1:24" ht="12.75">
      <c r="A96" s="17">
        <v>2</v>
      </c>
      <c r="B96" s="20" t="s">
        <v>38</v>
      </c>
      <c r="C96" s="166">
        <f>(266*((2393-0)/2393))*0.1+C104</f>
        <v>73.6</v>
      </c>
      <c r="D96" s="21">
        <f>(266*((2393-0)/2393))*0.1+D104</f>
        <v>73.6</v>
      </c>
      <c r="E96" s="247">
        <f>(266*((2393-0)/2393))*0.1+E104</f>
        <v>73.6</v>
      </c>
      <c r="F96" s="21">
        <f>(266*((2393-0)/2393))*0.1+F104</f>
        <v>73.6</v>
      </c>
      <c r="G96" s="166">
        <f>(266*((2393-210)/2393))*0.1+G104</f>
        <v>66.24346937827924</v>
      </c>
      <c r="H96" s="21">
        <f>(266*((2393-210)/2393))*0.1+H104</f>
        <v>66.24346937827924</v>
      </c>
      <c r="I96" s="166">
        <f>(266*((2393-210)/2393))*0.1+I104</f>
        <v>66.24346937827924</v>
      </c>
      <c r="J96" s="21">
        <f>(266*((2393-210)/2393))*0.1+J104</f>
        <v>66.24346937827924</v>
      </c>
      <c r="K96" s="166">
        <f>(266*((2393-210-210)/2393))*0.1+K104</f>
        <v>59.917891137510864</v>
      </c>
      <c r="L96" s="21">
        <f>(266*((2393-210-210)/2393))*0.1+L104</f>
        <v>59.917891137510864</v>
      </c>
      <c r="M96" s="166">
        <f>(266*((2393-210-210)/2393))*0.1+M104</f>
        <v>59.917891137510864</v>
      </c>
      <c r="N96" s="21">
        <f>(266*((2393-210-210)/2393))*0.1+N104</f>
        <v>59.917891137510864</v>
      </c>
      <c r="O96" s="166">
        <f>(266*((2393-210-95-67.5)/2393))*0.1+O104</f>
        <v>63.196154016233415</v>
      </c>
      <c r="P96" s="21">
        <f>(266*((2393-210-95-67.5)/2393))*0.1+P104</f>
        <v>63.196154016233415</v>
      </c>
      <c r="Q96" s="166">
        <f>(266*((2393-210-95-67.5)/2393))*0.1+Q104</f>
        <v>63.196154016233415</v>
      </c>
      <c r="R96" s="21">
        <f>(266*((2393-210-95-67.5)/2393))*0.1+R104</f>
        <v>63.196154016233415</v>
      </c>
      <c r="T96" s="48"/>
      <c r="U96" s="48"/>
      <c r="V96" s="48"/>
      <c r="W96" s="48"/>
      <c r="X96" s="48"/>
    </row>
    <row r="97" spans="1:24" ht="13.5" customHeight="1">
      <c r="A97" s="17">
        <v>3</v>
      </c>
      <c r="B97" s="22" t="s">
        <v>39</v>
      </c>
      <c r="C97" s="166">
        <f aca="true" t="shared" si="35" ref="C97:R97">92*0.4358</f>
        <v>40.0936</v>
      </c>
      <c r="D97" s="21">
        <f t="shared" si="35"/>
        <v>40.0936</v>
      </c>
      <c r="E97" s="247">
        <f t="shared" si="35"/>
        <v>40.0936</v>
      </c>
      <c r="F97" s="21">
        <f t="shared" si="35"/>
        <v>40.0936</v>
      </c>
      <c r="G97" s="166">
        <f t="shared" si="35"/>
        <v>40.0936</v>
      </c>
      <c r="H97" s="21">
        <f t="shared" si="35"/>
        <v>40.0936</v>
      </c>
      <c r="I97" s="166">
        <f t="shared" si="35"/>
        <v>40.0936</v>
      </c>
      <c r="J97" s="21">
        <f t="shared" si="35"/>
        <v>40.0936</v>
      </c>
      <c r="K97" s="166">
        <f t="shared" si="35"/>
        <v>40.0936</v>
      </c>
      <c r="L97" s="21">
        <f t="shared" si="35"/>
        <v>40.0936</v>
      </c>
      <c r="M97" s="166">
        <f t="shared" si="35"/>
        <v>40.0936</v>
      </c>
      <c r="N97" s="21">
        <f t="shared" si="35"/>
        <v>40.0936</v>
      </c>
      <c r="O97" s="166">
        <f t="shared" si="35"/>
        <v>40.0936</v>
      </c>
      <c r="P97" s="21">
        <f t="shared" si="35"/>
        <v>40.0936</v>
      </c>
      <c r="Q97" s="166">
        <f t="shared" si="35"/>
        <v>40.0936</v>
      </c>
      <c r="R97" s="21">
        <f t="shared" si="35"/>
        <v>40.0936</v>
      </c>
      <c r="T97" s="85"/>
      <c r="U97" s="86"/>
      <c r="V97" s="86"/>
      <c r="W97" s="86"/>
      <c r="X97" s="48"/>
    </row>
    <row r="98" spans="1:24" ht="13.5" customHeight="1">
      <c r="A98" s="17">
        <v>4</v>
      </c>
      <c r="B98" s="78" t="s">
        <v>117</v>
      </c>
      <c r="C98" s="128">
        <v>-47</v>
      </c>
      <c r="D98" s="130">
        <v>-47</v>
      </c>
      <c r="E98" s="262">
        <v>-47</v>
      </c>
      <c r="F98" s="130">
        <v>-34</v>
      </c>
      <c r="G98" s="128">
        <v>-47</v>
      </c>
      <c r="H98" s="129">
        <v>-47</v>
      </c>
      <c r="I98" s="129">
        <v>-47</v>
      </c>
      <c r="J98" s="130">
        <v>-34</v>
      </c>
      <c r="K98" s="128">
        <v>-47</v>
      </c>
      <c r="L98" s="129">
        <v>-47</v>
      </c>
      <c r="M98" s="129">
        <v>-47</v>
      </c>
      <c r="N98" s="194">
        <v>-24</v>
      </c>
      <c r="O98" s="262">
        <v>-47</v>
      </c>
      <c r="P98" s="129">
        <v>-47</v>
      </c>
      <c r="Q98" s="129">
        <v>-47</v>
      </c>
      <c r="R98" s="194">
        <v>-24</v>
      </c>
      <c r="T98" s="85"/>
      <c r="U98" s="86"/>
      <c r="V98" s="86"/>
      <c r="W98" s="86"/>
      <c r="X98" s="48"/>
    </row>
    <row r="99" spans="1:24" s="93" customFormat="1" ht="13.5" thickBot="1">
      <c r="A99" s="99">
        <v>5</v>
      </c>
      <c r="B99" s="100" t="s">
        <v>40</v>
      </c>
      <c r="C99" s="167">
        <f>SUM(C95:C98)</f>
        <v>1091.0414999999998</v>
      </c>
      <c r="D99" s="278">
        <f aca="true" t="shared" si="36" ref="D99:R99">SUM(D95:D98)</f>
        <v>1285.4082999999998</v>
      </c>
      <c r="E99" s="249">
        <f t="shared" si="36"/>
        <v>1091.0414999999998</v>
      </c>
      <c r="F99" s="167">
        <f t="shared" si="36"/>
        <v>1298.4082999999998</v>
      </c>
      <c r="G99" s="167">
        <f t="shared" si="36"/>
        <v>1055.5353024045705</v>
      </c>
      <c r="H99" s="167">
        <f t="shared" si="36"/>
        <v>1249.9021024045705</v>
      </c>
      <c r="I99" s="167">
        <f t="shared" si="36"/>
        <v>1055.5353024045705</v>
      </c>
      <c r="J99" s="167">
        <f t="shared" si="36"/>
        <v>1262.9021024045705</v>
      </c>
      <c r="K99" s="167">
        <f t="shared" si="36"/>
        <v>1071.0402901688167</v>
      </c>
      <c r="L99" s="167">
        <f t="shared" si="36"/>
        <v>1265.4070901688167</v>
      </c>
      <c r="M99" s="167">
        <f t="shared" si="36"/>
        <v>1071.0402901688167</v>
      </c>
      <c r="N99" s="167">
        <f t="shared" si="36"/>
        <v>1288.4070901688167</v>
      </c>
      <c r="O99" s="167">
        <f t="shared" si="36"/>
        <v>1074.6222912966584</v>
      </c>
      <c r="P99" s="167">
        <f t="shared" si="36"/>
        <v>1268.9890912966582</v>
      </c>
      <c r="Q99" s="167">
        <f t="shared" si="36"/>
        <v>1074.6222912966584</v>
      </c>
      <c r="R99" s="167">
        <f t="shared" si="36"/>
        <v>1291.9890912966582</v>
      </c>
      <c r="T99" s="110"/>
      <c r="U99" s="111"/>
      <c r="V99" s="111"/>
      <c r="W99" s="111"/>
      <c r="X99" s="112"/>
    </row>
    <row r="100" spans="1:24" ht="13.5" thickBot="1">
      <c r="A100" s="23"/>
      <c r="B100" s="24" t="s">
        <v>51</v>
      </c>
      <c r="C100" s="174">
        <f aca="true" t="shared" si="37" ref="C100:R100">+C99-C93</f>
        <v>465.66849999999977</v>
      </c>
      <c r="D100" s="170">
        <f t="shared" si="37"/>
        <v>-43.78170000000023</v>
      </c>
      <c r="E100" s="243">
        <f t="shared" si="37"/>
        <v>45.12149999999974</v>
      </c>
      <c r="F100" s="170">
        <f t="shared" si="37"/>
        <v>-56.92970000000014</v>
      </c>
      <c r="G100" s="174">
        <f t="shared" si="37"/>
        <v>430.1623024045705</v>
      </c>
      <c r="H100" s="175">
        <f t="shared" si="37"/>
        <v>7.872102404570569</v>
      </c>
      <c r="I100" s="169">
        <f t="shared" si="37"/>
        <v>-33.96469759542947</v>
      </c>
      <c r="J100" s="175">
        <f t="shared" si="37"/>
        <v>103.67410240457048</v>
      </c>
      <c r="K100" s="174">
        <f t="shared" si="37"/>
        <v>423.87729016881667</v>
      </c>
      <c r="L100" s="175">
        <f t="shared" si="37"/>
        <v>154.11709016881673</v>
      </c>
      <c r="M100" s="174">
        <f t="shared" si="37"/>
        <v>33.83629016881673</v>
      </c>
      <c r="N100" s="175">
        <f t="shared" si="37"/>
        <v>111.74709016881661</v>
      </c>
      <c r="O100" s="174">
        <f t="shared" si="37"/>
        <v>318.5092912966584</v>
      </c>
      <c r="P100" s="175">
        <f t="shared" si="37"/>
        <v>201.27909129665818</v>
      </c>
      <c r="Q100" s="169">
        <f t="shared" si="37"/>
        <v>-6.161708703341674</v>
      </c>
      <c r="R100" s="170">
        <f t="shared" si="37"/>
        <v>-146.15090870334188</v>
      </c>
      <c r="T100" s="85"/>
      <c r="U100" s="86"/>
      <c r="V100" s="86"/>
      <c r="W100" s="86"/>
      <c r="X100" s="48"/>
    </row>
    <row r="101" spans="1:24" ht="13.5" thickBot="1">
      <c r="A101" s="304" t="s">
        <v>52</v>
      </c>
      <c r="B101" s="305"/>
      <c r="C101" s="180"/>
      <c r="D101" s="27"/>
      <c r="E101" s="243"/>
      <c r="F101" s="175"/>
      <c r="G101" s="180"/>
      <c r="H101" s="27"/>
      <c r="I101" s="174"/>
      <c r="J101" s="175"/>
      <c r="K101" s="180"/>
      <c r="L101" s="27"/>
      <c r="M101" s="174"/>
      <c r="N101" s="175"/>
      <c r="O101" s="180"/>
      <c r="P101" s="27"/>
      <c r="Q101" s="174"/>
      <c r="R101" s="175"/>
      <c r="T101" s="48"/>
      <c r="U101" s="48"/>
      <c r="V101" s="86"/>
      <c r="W101" s="86"/>
      <c r="X101" s="48"/>
    </row>
    <row r="102" spans="1:18" s="97" customFormat="1" ht="12.75" customHeight="1">
      <c r="A102" s="104" t="s">
        <v>53</v>
      </c>
      <c r="B102" s="105" t="s">
        <v>54</v>
      </c>
      <c r="C102" s="183">
        <v>100</v>
      </c>
      <c r="D102" s="103">
        <v>220</v>
      </c>
      <c r="E102" s="245">
        <v>180</v>
      </c>
      <c r="F102" s="178">
        <v>160</v>
      </c>
      <c r="G102" s="183">
        <v>100</v>
      </c>
      <c r="H102" s="103">
        <v>220</v>
      </c>
      <c r="I102" s="183">
        <v>180</v>
      </c>
      <c r="J102" s="178">
        <v>160</v>
      </c>
      <c r="K102" s="183">
        <v>100</v>
      </c>
      <c r="L102" s="103">
        <v>220</v>
      </c>
      <c r="M102" s="183">
        <v>200</v>
      </c>
      <c r="N102" s="178">
        <v>170</v>
      </c>
      <c r="O102" s="183">
        <v>100</v>
      </c>
      <c r="P102" s="103">
        <v>220</v>
      </c>
      <c r="Q102" s="183">
        <v>200</v>
      </c>
      <c r="R102" s="178">
        <v>170</v>
      </c>
    </row>
    <row r="103" spans="1:18" ht="12.75">
      <c r="A103" s="38"/>
      <c r="B103" s="82" t="s">
        <v>78</v>
      </c>
      <c r="C103" s="166">
        <f>+(((113*((705-0)/705)+(107*((840-0)/840))+(95*((330-0)/330)))))</f>
        <v>315</v>
      </c>
      <c r="D103" s="21">
        <f>+(((113*((705-0)/705)+(107*((840-0)/840))+(95*((330-0)/330)))))</f>
        <v>315</v>
      </c>
      <c r="E103" s="247">
        <f>+(((113*((705-0)/705)+(107*((840-0)/840))+(95*((330-0)/330)))))</f>
        <v>315</v>
      </c>
      <c r="F103" s="21">
        <f>+(((113*((705-0)/705)+(107*((840-0)/840))+(95*((330-0)/330)))))</f>
        <v>315</v>
      </c>
      <c r="G103" s="166">
        <f>+(((113*((705-210)/705)+(107*((840-0)/840))+(95*((330-0)/330)))))</f>
        <v>281.3404255319149</v>
      </c>
      <c r="H103" s="21">
        <f>+(((113*((705-210)/705)+(107*((840-0)/840))+(95*((330-0)/330)))))</f>
        <v>281.3404255319149</v>
      </c>
      <c r="I103" s="166">
        <f>+(((113*((705-210)/705)+(107*((840-0)/840))+(95*((330-0)/330)))))</f>
        <v>281.3404255319149</v>
      </c>
      <c r="J103" s="21">
        <f>+(((113*((705-210)/705)+(107*((840-0)/840))+(95*((330-0)/330)))))</f>
        <v>281.3404255319149</v>
      </c>
      <c r="K103" s="166">
        <f>+(((113*((705-210)/705)+(107*((840-210)/840))+(95*((330-0)/330)))))</f>
        <v>254.5904255319149</v>
      </c>
      <c r="L103" s="21">
        <f>+(((113*((705-210)/705)+(107*((840-210)/840))+(95*((330-0)/330)))))</f>
        <v>254.5904255319149</v>
      </c>
      <c r="M103" s="166">
        <f>+(((113*((705-210)/705)+(107*((840-210)/840))+(95*((330-0)/330)))))</f>
        <v>254.5904255319149</v>
      </c>
      <c r="N103" s="21">
        <f>+(((113*((705-210)/705)+(107*((840-210)/840))+(95*((330-0)/330)))))</f>
        <v>254.5904255319149</v>
      </c>
      <c r="O103" s="166">
        <f>+(((113*((705-95)/705)+(107*((840-210)/840))+(95*((330-0)/330)))))</f>
        <v>273.0230496453901</v>
      </c>
      <c r="P103" s="21">
        <f>+(((113*((705-95)/705)+(107*((840-210)/840))+(95*((330-0)/330)))))</f>
        <v>273.0230496453901</v>
      </c>
      <c r="Q103" s="166">
        <f>+(((113*((705-95)/705)+(107*((840-210)/840))+(95*((330-0)/330)))))</f>
        <v>273.0230496453901</v>
      </c>
      <c r="R103" s="21">
        <f>+(((113*((705-95)/705)+(107*((840-210)/840))+(95*((330-0)/330)))))</f>
        <v>273.0230496453901</v>
      </c>
    </row>
    <row r="104" spans="1:18" ht="12.75">
      <c r="A104" s="83"/>
      <c r="B104" s="84" t="s">
        <v>79</v>
      </c>
      <c r="C104" s="166">
        <f aca="true" t="shared" si="38" ref="C104:R104">47*C103/315</f>
        <v>47</v>
      </c>
      <c r="D104" s="21">
        <f t="shared" si="38"/>
        <v>47</v>
      </c>
      <c r="E104" s="247">
        <f t="shared" si="38"/>
        <v>47</v>
      </c>
      <c r="F104" s="21">
        <f t="shared" si="38"/>
        <v>47</v>
      </c>
      <c r="G104" s="166">
        <f t="shared" si="38"/>
        <v>41.977777777777774</v>
      </c>
      <c r="H104" s="21">
        <f t="shared" si="38"/>
        <v>41.977777777777774</v>
      </c>
      <c r="I104" s="166">
        <f t="shared" si="38"/>
        <v>41.977777777777774</v>
      </c>
      <c r="J104" s="21">
        <f t="shared" si="38"/>
        <v>41.977777777777774</v>
      </c>
      <c r="K104" s="166">
        <f t="shared" si="38"/>
        <v>37.986507936507934</v>
      </c>
      <c r="L104" s="21">
        <f t="shared" si="38"/>
        <v>37.986507936507934</v>
      </c>
      <c r="M104" s="166">
        <f t="shared" si="38"/>
        <v>37.986507936507934</v>
      </c>
      <c r="N104" s="21">
        <f t="shared" si="38"/>
        <v>37.986507936507934</v>
      </c>
      <c r="O104" s="166">
        <f t="shared" si="38"/>
        <v>40.73677248677249</v>
      </c>
      <c r="P104" s="21">
        <f t="shared" si="38"/>
        <v>40.73677248677249</v>
      </c>
      <c r="Q104" s="166">
        <f t="shared" si="38"/>
        <v>40.73677248677249</v>
      </c>
      <c r="R104" s="21">
        <f t="shared" si="38"/>
        <v>40.73677248677249</v>
      </c>
    </row>
    <row r="105" spans="1:18" s="93" customFormat="1" ht="13.5" thickBot="1">
      <c r="A105" s="106"/>
      <c r="B105" s="107" t="s">
        <v>80</v>
      </c>
      <c r="C105" s="167">
        <f aca="true" t="shared" si="39" ref="C105:R105">+C103-C104</f>
        <v>268</v>
      </c>
      <c r="D105" s="168">
        <f t="shared" si="39"/>
        <v>268</v>
      </c>
      <c r="E105" s="249">
        <f t="shared" si="39"/>
        <v>268</v>
      </c>
      <c r="F105" s="168">
        <f t="shared" si="39"/>
        <v>268</v>
      </c>
      <c r="G105" s="167">
        <f t="shared" si="39"/>
        <v>239.36264775413713</v>
      </c>
      <c r="H105" s="168">
        <f t="shared" si="39"/>
        <v>239.36264775413713</v>
      </c>
      <c r="I105" s="167">
        <f t="shared" si="39"/>
        <v>239.36264775413713</v>
      </c>
      <c r="J105" s="168">
        <f t="shared" si="39"/>
        <v>239.36264775413713</v>
      </c>
      <c r="K105" s="167">
        <f t="shared" si="39"/>
        <v>216.60391759540695</v>
      </c>
      <c r="L105" s="168">
        <f t="shared" si="39"/>
        <v>216.60391759540695</v>
      </c>
      <c r="M105" s="167">
        <f t="shared" si="39"/>
        <v>216.60391759540695</v>
      </c>
      <c r="N105" s="168">
        <f t="shared" si="39"/>
        <v>216.60391759540695</v>
      </c>
      <c r="O105" s="167">
        <f t="shared" si="39"/>
        <v>232.2862771586176</v>
      </c>
      <c r="P105" s="168">
        <f t="shared" si="39"/>
        <v>232.2862771586176</v>
      </c>
      <c r="Q105" s="167">
        <f t="shared" si="39"/>
        <v>232.2862771586176</v>
      </c>
      <c r="R105" s="168">
        <f t="shared" si="39"/>
        <v>232.2862771586176</v>
      </c>
    </row>
    <row r="106" spans="1:18" ht="14.25" customHeight="1" thickBot="1">
      <c r="A106" s="28"/>
      <c r="B106" s="29" t="s">
        <v>55</v>
      </c>
      <c r="C106" s="174">
        <f aca="true" t="shared" si="40" ref="C106:R106">+C105-C102</f>
        <v>168</v>
      </c>
      <c r="D106" s="175">
        <f t="shared" si="40"/>
        <v>48</v>
      </c>
      <c r="E106" s="243">
        <f t="shared" si="40"/>
        <v>88</v>
      </c>
      <c r="F106" s="175">
        <f t="shared" si="40"/>
        <v>108</v>
      </c>
      <c r="G106" s="174">
        <f t="shared" si="40"/>
        <v>139.36264775413713</v>
      </c>
      <c r="H106" s="175">
        <f t="shared" si="40"/>
        <v>19.36264775413713</v>
      </c>
      <c r="I106" s="174">
        <f t="shared" si="40"/>
        <v>59.36264775413713</v>
      </c>
      <c r="J106" s="175">
        <f t="shared" si="40"/>
        <v>79.36264775413713</v>
      </c>
      <c r="K106" s="174">
        <f t="shared" si="40"/>
        <v>116.60391759540695</v>
      </c>
      <c r="L106" s="170">
        <f t="shared" si="40"/>
        <v>-3.396082404593045</v>
      </c>
      <c r="M106" s="174">
        <f t="shared" si="40"/>
        <v>16.603917595406955</v>
      </c>
      <c r="N106" s="175">
        <f t="shared" si="40"/>
        <v>46.603917595406955</v>
      </c>
      <c r="O106" s="174">
        <f t="shared" si="40"/>
        <v>132.2862771586176</v>
      </c>
      <c r="P106" s="175">
        <f t="shared" si="40"/>
        <v>12.286277158617594</v>
      </c>
      <c r="Q106" s="174">
        <f t="shared" si="40"/>
        <v>32.286277158617594</v>
      </c>
      <c r="R106" s="175">
        <f t="shared" si="40"/>
        <v>62.286277158617594</v>
      </c>
    </row>
    <row r="107" spans="1:18" ht="13.5" thickBot="1">
      <c r="A107" s="304" t="s">
        <v>56</v>
      </c>
      <c r="B107" s="305"/>
      <c r="C107" s="180"/>
      <c r="D107" s="27"/>
      <c r="E107" s="243"/>
      <c r="F107" s="175"/>
      <c r="G107" s="180"/>
      <c r="H107" s="27"/>
      <c r="I107" s="174"/>
      <c r="J107" s="175"/>
      <c r="K107" s="180"/>
      <c r="L107" s="27"/>
      <c r="M107" s="174"/>
      <c r="N107" s="175"/>
      <c r="O107" s="180"/>
      <c r="P107" s="27"/>
      <c r="Q107" s="174"/>
      <c r="R107" s="175"/>
    </row>
    <row r="108" spans="1:18" s="97" customFormat="1" ht="12.75" customHeight="1">
      <c r="A108" s="104" t="s">
        <v>57</v>
      </c>
      <c r="B108" s="105" t="s">
        <v>58</v>
      </c>
      <c r="C108" s="183">
        <v>15</v>
      </c>
      <c r="D108" s="103">
        <v>30</v>
      </c>
      <c r="E108" s="245">
        <v>20</v>
      </c>
      <c r="F108" s="178">
        <v>30</v>
      </c>
      <c r="G108" s="183">
        <v>15</v>
      </c>
      <c r="H108" s="103">
        <v>30</v>
      </c>
      <c r="I108" s="183">
        <v>20</v>
      </c>
      <c r="J108" s="178">
        <v>30</v>
      </c>
      <c r="K108" s="183">
        <v>15</v>
      </c>
      <c r="L108" s="103">
        <v>30</v>
      </c>
      <c r="M108" s="183">
        <v>20</v>
      </c>
      <c r="N108" s="178">
        <v>30</v>
      </c>
      <c r="O108" s="183">
        <v>15</v>
      </c>
      <c r="P108" s="103">
        <v>30</v>
      </c>
      <c r="Q108" s="183">
        <v>20</v>
      </c>
      <c r="R108" s="178">
        <v>30</v>
      </c>
    </row>
    <row r="109" spans="1:18" s="93" customFormat="1" ht="13.5" thickBot="1">
      <c r="A109" s="99"/>
      <c r="B109" s="100" t="s">
        <v>59</v>
      </c>
      <c r="C109" s="167">
        <f>+(45*((705-0)/705))</f>
        <v>45</v>
      </c>
      <c r="D109" s="168">
        <f>+(45*((705-0)/705))</f>
        <v>45</v>
      </c>
      <c r="E109" s="249">
        <f>+(45*((705-0)/705))</f>
        <v>45</v>
      </c>
      <c r="F109" s="168">
        <f>+(45*((705-0)/705))</f>
        <v>45</v>
      </c>
      <c r="G109" s="167">
        <f aca="true" t="shared" si="41" ref="G109:N109">+(45*((705-210)/705))</f>
        <v>31.595744680851066</v>
      </c>
      <c r="H109" s="168">
        <f t="shared" si="41"/>
        <v>31.595744680851066</v>
      </c>
      <c r="I109" s="167">
        <f t="shared" si="41"/>
        <v>31.595744680851066</v>
      </c>
      <c r="J109" s="168">
        <f t="shared" si="41"/>
        <v>31.595744680851066</v>
      </c>
      <c r="K109" s="167">
        <f t="shared" si="41"/>
        <v>31.595744680851066</v>
      </c>
      <c r="L109" s="168">
        <f t="shared" si="41"/>
        <v>31.595744680851066</v>
      </c>
      <c r="M109" s="167">
        <f t="shared" si="41"/>
        <v>31.595744680851066</v>
      </c>
      <c r="N109" s="168">
        <f t="shared" si="41"/>
        <v>31.595744680851066</v>
      </c>
      <c r="O109" s="167">
        <f>+(45*((705-95)/705))</f>
        <v>38.93617021276596</v>
      </c>
      <c r="P109" s="168">
        <f>+(45*((705-95)/705))</f>
        <v>38.93617021276596</v>
      </c>
      <c r="Q109" s="167">
        <f>+(45*((705-95)/705))</f>
        <v>38.93617021276596</v>
      </c>
      <c r="R109" s="168">
        <f>+(45*((705-95)/705))</f>
        <v>38.93617021276596</v>
      </c>
    </row>
    <row r="110" spans="1:18" ht="13.5" thickBot="1">
      <c r="A110" s="23"/>
      <c r="B110" s="24" t="s">
        <v>60</v>
      </c>
      <c r="C110" s="174">
        <f aca="true" t="shared" si="42" ref="C110:R110">+C109-C108</f>
        <v>30</v>
      </c>
      <c r="D110" s="175">
        <f t="shared" si="42"/>
        <v>15</v>
      </c>
      <c r="E110" s="243">
        <f t="shared" si="42"/>
        <v>25</v>
      </c>
      <c r="F110" s="175">
        <f t="shared" si="42"/>
        <v>15</v>
      </c>
      <c r="G110" s="174">
        <f t="shared" si="42"/>
        <v>16.595744680851066</v>
      </c>
      <c r="H110" s="175">
        <f t="shared" si="42"/>
        <v>1.595744680851066</v>
      </c>
      <c r="I110" s="174">
        <f t="shared" si="42"/>
        <v>11.595744680851066</v>
      </c>
      <c r="J110" s="175">
        <f t="shared" si="42"/>
        <v>1.595744680851066</v>
      </c>
      <c r="K110" s="174">
        <f t="shared" si="42"/>
        <v>16.595744680851066</v>
      </c>
      <c r="L110" s="175">
        <f t="shared" si="42"/>
        <v>1.595744680851066</v>
      </c>
      <c r="M110" s="174">
        <f t="shared" si="42"/>
        <v>11.595744680851066</v>
      </c>
      <c r="N110" s="175">
        <f t="shared" si="42"/>
        <v>1.595744680851066</v>
      </c>
      <c r="O110" s="174">
        <f t="shared" si="42"/>
        <v>23.93617021276596</v>
      </c>
      <c r="P110" s="175">
        <f t="shared" si="42"/>
        <v>8.936170212765958</v>
      </c>
      <c r="Q110" s="174">
        <f t="shared" si="42"/>
        <v>18.93617021276596</v>
      </c>
      <c r="R110" s="175">
        <f t="shared" si="42"/>
        <v>8.936170212765958</v>
      </c>
    </row>
    <row r="111" spans="1:18" s="113" customFormat="1" ht="21.75" customHeight="1" thickBot="1">
      <c r="A111" s="114"/>
      <c r="B111" s="116" t="s">
        <v>61</v>
      </c>
      <c r="C111" s="181">
        <f aca="true" t="shared" si="43" ref="C111:J111">+C110+C106+C100+C91+C82</f>
        <v>1454.4999999999998</v>
      </c>
      <c r="D111" s="182">
        <f t="shared" si="43"/>
        <v>202.49999999999966</v>
      </c>
      <c r="E111" s="276">
        <f t="shared" si="43"/>
        <v>404.49999999999966</v>
      </c>
      <c r="F111" s="182">
        <f t="shared" si="43"/>
        <v>180.49999999999977</v>
      </c>
      <c r="G111" s="181">
        <f t="shared" si="43"/>
        <v>1319.5</v>
      </c>
      <c r="H111" s="182">
        <f t="shared" si="43"/>
        <v>267.50000000000017</v>
      </c>
      <c r="I111" s="181">
        <f t="shared" si="43"/>
        <v>169.50000000000006</v>
      </c>
      <c r="J111" s="182">
        <f t="shared" si="43"/>
        <v>495.50000000000006</v>
      </c>
      <c r="K111" s="181">
        <f aca="true" t="shared" si="44" ref="K111:R111">+K110+K106+K100+K91+K82</f>
        <v>1286.5</v>
      </c>
      <c r="L111" s="182">
        <f t="shared" si="44"/>
        <v>532.5000000000001</v>
      </c>
      <c r="M111" s="181">
        <f t="shared" si="44"/>
        <v>286.50000000000006</v>
      </c>
      <c r="N111" s="182">
        <f t="shared" si="44"/>
        <v>455.50000000000006</v>
      </c>
      <c r="O111" s="181">
        <f t="shared" si="44"/>
        <v>1068.2500000000002</v>
      </c>
      <c r="P111" s="182">
        <f t="shared" si="44"/>
        <v>664.25</v>
      </c>
      <c r="Q111" s="181">
        <f t="shared" si="44"/>
        <v>218.25000000000028</v>
      </c>
      <c r="R111" s="192">
        <f t="shared" si="44"/>
        <v>-112.75000000000007</v>
      </c>
    </row>
    <row r="112" spans="1:27" s="39" customFormat="1" ht="15" customHeight="1">
      <c r="A112" s="76"/>
      <c r="B112" s="77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1"/>
    </row>
    <row r="113" spans="1:26" s="39" customFormat="1" ht="12.75">
      <c r="A113" s="54"/>
      <c r="B113" s="55"/>
      <c r="C113" s="55"/>
      <c r="T113" s="43"/>
      <c r="U113" s="43"/>
      <c r="V113" s="43"/>
      <c r="W113" s="43"/>
      <c r="X113" s="43"/>
      <c r="Y113" s="43"/>
      <c r="Z113" s="43"/>
    </row>
    <row r="114" spans="1:21" s="39" customFormat="1" ht="12.75">
      <c r="A114" s="5"/>
      <c r="B114" s="56"/>
      <c r="C114" s="56"/>
      <c r="T114" s="43"/>
      <c r="U114" s="43"/>
    </row>
    <row r="115" spans="1:3" s="39" customFormat="1" ht="12.75">
      <c r="A115" s="5"/>
      <c r="B115" s="56"/>
      <c r="C115" s="56"/>
    </row>
    <row r="116" spans="1:26" s="39" customFormat="1" ht="12.75">
      <c r="A116" s="54"/>
      <c r="B116" s="56"/>
      <c r="C116" s="56"/>
      <c r="T116" s="43"/>
      <c r="U116" s="43"/>
      <c r="V116" s="43"/>
      <c r="W116" s="43"/>
      <c r="X116" s="43"/>
      <c r="Y116" s="43"/>
      <c r="Z116" s="43"/>
    </row>
    <row r="117" spans="1:26" s="39" customFormat="1" ht="12.75">
      <c r="A117"/>
      <c r="B117" s="56"/>
      <c r="C117" s="56"/>
      <c r="T117" s="43"/>
      <c r="U117" s="43"/>
      <c r="V117" s="43"/>
      <c r="W117" s="43"/>
      <c r="X117" s="43"/>
      <c r="Y117" s="43"/>
      <c r="Z117" s="43"/>
    </row>
    <row r="118" spans="1:26" s="39" customFormat="1" ht="12.75">
      <c r="A118" s="54"/>
      <c r="B118" s="56"/>
      <c r="C118" s="56"/>
      <c r="T118" s="43"/>
      <c r="U118" s="43"/>
      <c r="V118" s="43"/>
      <c r="W118" s="43"/>
      <c r="X118" s="43"/>
      <c r="Y118" s="43"/>
      <c r="Z118" s="43"/>
    </row>
    <row r="119" spans="1:3" s="39" customFormat="1" ht="12.75">
      <c r="A119" s="54"/>
      <c r="B119" s="56"/>
      <c r="C119" s="44"/>
    </row>
    <row r="120" spans="1:3" s="39" customFormat="1" ht="12">
      <c r="A120" s="42"/>
      <c r="B120" s="44"/>
      <c r="C120" s="44"/>
    </row>
    <row r="121" spans="1:3" s="39" customFormat="1" ht="12">
      <c r="A121" s="42"/>
      <c r="B121" s="44"/>
      <c r="C121" s="44"/>
    </row>
    <row r="122" spans="1:3" s="39" customFormat="1" ht="12">
      <c r="A122" s="42"/>
      <c r="B122" s="44"/>
      <c r="C122" s="44"/>
    </row>
    <row r="123" s="31" customFormat="1" ht="16.5" customHeight="1">
      <c r="A123" s="32"/>
    </row>
    <row r="124" s="31" customFormat="1" ht="13.5" customHeight="1">
      <c r="A124" s="32"/>
    </row>
    <row r="130" spans="2:3" ht="12.75">
      <c r="B130" s="45"/>
      <c r="C130" s="45"/>
    </row>
  </sheetData>
  <mergeCells count="22">
    <mergeCell ref="A47:B47"/>
    <mergeCell ref="A13:B13"/>
    <mergeCell ref="A22:B22"/>
    <mergeCell ref="A31:B31"/>
    <mergeCell ref="A41:B41"/>
    <mergeCell ref="A107:B107"/>
    <mergeCell ref="A74:B74"/>
    <mergeCell ref="A83:B83"/>
    <mergeCell ref="A92:B92"/>
    <mergeCell ref="A101:B101"/>
    <mergeCell ref="G9:J9"/>
    <mergeCell ref="K9:N9"/>
    <mergeCell ref="O9:R9"/>
    <mergeCell ref="K8:R8"/>
    <mergeCell ref="C8:J8"/>
    <mergeCell ref="C9:F9"/>
    <mergeCell ref="C69:J69"/>
    <mergeCell ref="C70:F70"/>
    <mergeCell ref="G70:J70"/>
    <mergeCell ref="K69:R69"/>
    <mergeCell ref="K70:N70"/>
    <mergeCell ref="O70:R70"/>
  </mergeCells>
  <printOptions horizontalCentered="1" verticalCentered="1"/>
  <pageMargins left="0.25" right="0.25" top="0.25" bottom="0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MAA</cp:lastModifiedBy>
  <cp:lastPrinted>2009-10-24T10:31:02Z</cp:lastPrinted>
  <dcterms:created xsi:type="dcterms:W3CDTF">2008-08-07T06:11:03Z</dcterms:created>
  <dcterms:modified xsi:type="dcterms:W3CDTF">2009-10-24T10:31:24Z</dcterms:modified>
  <cp:category/>
  <cp:version/>
  <cp:contentType/>
  <cp:contentStatus/>
</cp:coreProperties>
</file>